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X:\3- Leadership qualité\3.1 Contrôle Interne\1. Contrôles Terrain\Calculatrice PP\"/>
    </mc:Choice>
  </mc:AlternateContent>
  <xr:revisionPtr revIDLastSave="0" documentId="13_ncr:1_{70D906B6-76B0-4E9B-9A78-322C473D101A}" xr6:coauthVersionLast="46" xr6:coauthVersionMax="46" xr10:uidLastSave="{00000000-0000-0000-0000-000000000000}"/>
  <workbookProtection workbookAlgorithmName="SHA-512" workbookHashValue="v/Bk2SwR9IGGNmnCEYbpD2aHInULm6J/x+htdu/uOcJdDkoPAChoySd819fX+LH8duHfHTdZWPvLXCs1J6Rrhg==" workbookSaltValue="+0ehTCwnNCudVDMsrNyr/g==" workbookSpinCount="100000" lockStructure="1"/>
  <bookViews>
    <workbookView xWindow="-110" yWindow="-110" windowWidth="19420" windowHeight="10420" xr2:uid="{00000000-000D-0000-FFFF-FFFF00000000}"/>
  </bookViews>
  <sheets>
    <sheet name="CDP" sheetId="1" r:id="rId1"/>
    <sheet name="FR" sheetId="2" r:id="rId2"/>
    <sheet name="LL" sheetId="4" r:id="rId3"/>
    <sheet name="SV" sheetId="7" r:id="rId4"/>
    <sheet name="PF" sheetId="6" r:id="rId5"/>
  </sheets>
  <definedNames>
    <definedName name="ListeDGC">CDP!$M$52:$M$56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" i="1" l="1"/>
  <c r="F30" i="1" l="1"/>
  <c r="F31" i="1"/>
  <c r="F32" i="1"/>
  <c r="F33" i="1"/>
  <c r="F23" i="1"/>
  <c r="F24" i="1"/>
  <c r="F25" i="1"/>
  <c r="F26" i="1"/>
  <c r="F27" i="1"/>
  <c r="F34" i="1" l="1"/>
  <c r="F28" i="1"/>
  <c r="B30" i="2"/>
  <c r="B29" i="2"/>
  <c r="B30" i="7"/>
  <c r="B29" i="7"/>
  <c r="B30" i="6"/>
  <c r="B29" i="6"/>
  <c r="B30" i="4"/>
  <c r="B29" i="4"/>
  <c r="X37" i="4" l="1"/>
  <c r="C21" i="1" l="1"/>
  <c r="C16" i="1"/>
  <c r="D24" i="1"/>
  <c r="D25" i="1"/>
  <c r="D26" i="1"/>
  <c r="D27" i="1"/>
  <c r="D28" i="1"/>
  <c r="D29" i="1"/>
  <c r="N15" i="6" s="1"/>
  <c r="D30" i="1"/>
  <c r="N40" i="6" s="1"/>
  <c r="D31" i="1"/>
  <c r="N41" i="6" s="1"/>
  <c r="D32" i="1"/>
  <c r="N42" i="6" s="1"/>
  <c r="D33" i="1"/>
  <c r="N43" i="6" s="1"/>
  <c r="D23" i="1"/>
  <c r="N36" i="4" l="1"/>
  <c r="N35" i="4"/>
  <c r="N44" i="6"/>
  <c r="N14" i="6"/>
  <c r="N16" i="6" s="1"/>
  <c r="N30" i="6"/>
  <c r="N9" i="6"/>
  <c r="N29" i="6"/>
  <c r="B23" i="7"/>
  <c r="N35" i="6"/>
  <c r="N11" i="6"/>
  <c r="N36" i="6"/>
  <c r="N10" i="6"/>
  <c r="N31" i="6"/>
  <c r="B20" i="7"/>
  <c r="N36" i="7"/>
  <c r="N9" i="7"/>
  <c r="B34" i="7"/>
  <c r="N20" i="7"/>
  <c r="N47" i="7"/>
  <c r="B28" i="7"/>
  <c r="N15" i="7"/>
  <c r="N42" i="7"/>
  <c r="N14" i="7"/>
  <c r="B27" i="7"/>
  <c r="N41" i="7"/>
  <c r="N46" i="7"/>
  <c r="B33" i="7"/>
  <c r="N19" i="7"/>
  <c r="N11" i="7"/>
  <c r="B24" i="7"/>
  <c r="N38" i="7"/>
  <c r="B36" i="7"/>
  <c r="N49" i="7"/>
  <c r="N22" i="7"/>
  <c r="N43" i="7"/>
  <c r="N16" i="7"/>
  <c r="B22" i="7"/>
  <c r="N48" i="7"/>
  <c r="B35" i="7"/>
  <c r="N21" i="7"/>
  <c r="B21" i="7"/>
  <c r="N37" i="7"/>
  <c r="N10" i="7"/>
  <c r="N10" i="4"/>
  <c r="B28" i="4"/>
  <c r="B28" i="2"/>
  <c r="B28" i="6"/>
  <c r="B27" i="4"/>
  <c r="B27" i="2"/>
  <c r="B27" i="6"/>
  <c r="B24" i="6"/>
  <c r="B23" i="6"/>
  <c r="B36" i="6"/>
  <c r="B36" i="2"/>
  <c r="B22" i="6"/>
  <c r="B21" i="6"/>
  <c r="B35" i="6"/>
  <c r="B35" i="2"/>
  <c r="B34" i="2"/>
  <c r="B34" i="6"/>
  <c r="B33" i="2"/>
  <c r="B33" i="6"/>
  <c r="N11" i="4"/>
  <c r="N14" i="4"/>
  <c r="B24" i="4"/>
  <c r="B20" i="4"/>
  <c r="N15" i="4"/>
  <c r="B23" i="4"/>
  <c r="B36" i="4"/>
  <c r="N65" i="4"/>
  <c r="N23" i="4"/>
  <c r="N42" i="4"/>
  <c r="N41" i="4"/>
  <c r="N37" i="4"/>
  <c r="N16" i="4"/>
  <c r="B22" i="4"/>
  <c r="B21" i="4"/>
  <c r="N17" i="4"/>
  <c r="B35" i="4"/>
  <c r="N64" i="4"/>
  <c r="N22" i="4"/>
  <c r="B34" i="4"/>
  <c r="N63" i="4"/>
  <c r="N21" i="4"/>
  <c r="N60" i="4"/>
  <c r="S60" i="4" s="1"/>
  <c r="B33" i="4"/>
  <c r="N20" i="4"/>
  <c r="N9" i="2"/>
  <c r="B24" i="2"/>
  <c r="N16" i="2"/>
  <c r="N17" i="2" s="1"/>
  <c r="X16" i="2" s="1"/>
  <c r="B21" i="2"/>
  <c r="N31" i="2"/>
  <c r="N10" i="2"/>
  <c r="B20" i="2"/>
  <c r="N30" i="2"/>
  <c r="B23" i="2"/>
  <c r="N12" i="2"/>
  <c r="B22" i="2"/>
  <c r="N11" i="2"/>
  <c r="N32" i="2"/>
  <c r="B31" i="4" l="1"/>
  <c r="K5" i="4" s="1"/>
  <c r="B37" i="2"/>
  <c r="X25" i="6"/>
  <c r="N38" i="6"/>
  <c r="N32" i="6"/>
  <c r="N12" i="6"/>
  <c r="N18" i="6" s="1"/>
  <c r="X5" i="6"/>
  <c r="B37" i="6"/>
  <c r="B31" i="7"/>
  <c r="K5" i="7" s="1"/>
  <c r="B31" i="2"/>
  <c r="K5" i="2" s="1"/>
  <c r="B31" i="6"/>
  <c r="B37" i="7"/>
  <c r="B25" i="7"/>
  <c r="N24" i="4"/>
  <c r="B37" i="4"/>
  <c r="B25" i="4"/>
  <c r="N33" i="2"/>
  <c r="O30" i="2" s="1"/>
  <c r="P30" i="2" s="1"/>
  <c r="B25" i="2"/>
  <c r="K36" i="4" l="1"/>
  <c r="O11" i="6"/>
  <c r="O10" i="6"/>
  <c r="O9" i="6"/>
  <c r="N45" i="6"/>
  <c r="K36" i="6"/>
  <c r="K5" i="6"/>
  <c r="K36" i="2"/>
  <c r="K36" i="7"/>
  <c r="B38" i="7"/>
  <c r="K37" i="7"/>
  <c r="K35" i="7"/>
  <c r="X46" i="7"/>
  <c r="O31" i="2"/>
  <c r="P31" i="2" s="1"/>
  <c r="O32" i="2"/>
  <c r="P32" i="2" s="1"/>
  <c r="B38" i="2"/>
  <c r="C20" i="2" s="1"/>
  <c r="D20" i="2" s="1"/>
  <c r="K35" i="4"/>
  <c r="B38" i="4"/>
  <c r="K37" i="4"/>
  <c r="X15" i="4"/>
  <c r="K35" i="2"/>
  <c r="K37" i="2"/>
  <c r="N14" i="2"/>
  <c r="S34" i="2" l="1"/>
  <c r="R26" i="2" s="1"/>
  <c r="K39" i="2"/>
  <c r="O30" i="6"/>
  <c r="P30" i="6" s="1"/>
  <c r="O29" i="6"/>
  <c r="P29" i="6" s="1"/>
  <c r="O31" i="6"/>
  <c r="P31" i="6" s="1"/>
  <c r="C23" i="7"/>
  <c r="D23" i="7" s="1"/>
  <c r="C22" i="7"/>
  <c r="D22" i="7" s="1"/>
  <c r="C20" i="7"/>
  <c r="D20" i="7" s="1"/>
  <c r="C21" i="7"/>
  <c r="D21" i="7" s="1"/>
  <c r="C24" i="7"/>
  <c r="D24" i="7" s="1"/>
  <c r="K39" i="7"/>
  <c r="K38" i="7"/>
  <c r="N17" i="7"/>
  <c r="N23" i="7"/>
  <c r="N12" i="7"/>
  <c r="N50" i="7"/>
  <c r="N44" i="7"/>
  <c r="N39" i="7"/>
  <c r="C22" i="2"/>
  <c r="D22" i="2" s="1"/>
  <c r="C24" i="2"/>
  <c r="D24" i="2" s="1"/>
  <c r="C21" i="2"/>
  <c r="D21" i="2" s="1"/>
  <c r="C23" i="2"/>
  <c r="D23" i="2" s="1"/>
  <c r="N66" i="4"/>
  <c r="X54" i="4" s="1"/>
  <c r="N61" i="4"/>
  <c r="N38" i="4"/>
  <c r="K38" i="4"/>
  <c r="K39" i="4"/>
  <c r="C23" i="4"/>
  <c r="D23" i="4" s="1"/>
  <c r="C24" i="4"/>
  <c r="D24" i="4" s="1"/>
  <c r="C22" i="4"/>
  <c r="D22" i="4" s="1"/>
  <c r="C20" i="4"/>
  <c r="D20" i="4" s="1"/>
  <c r="C21" i="4"/>
  <c r="D21" i="4" s="1"/>
  <c r="N12" i="4"/>
  <c r="N18" i="4"/>
  <c r="X20" i="4" s="1"/>
  <c r="N43" i="4"/>
  <c r="K38" i="2"/>
  <c r="N19" i="2"/>
  <c r="F36" i="1"/>
  <c r="F38" i="1"/>
  <c r="F39" i="1"/>
  <c r="F37" i="1"/>
  <c r="F21" i="4" l="1"/>
  <c r="G21" i="4" s="1"/>
  <c r="F20" i="4"/>
  <c r="G20" i="4" s="1"/>
  <c r="F22" i="4"/>
  <c r="G22" i="4" s="1"/>
  <c r="F24" i="4"/>
  <c r="G24" i="4" s="1"/>
  <c r="F23" i="4"/>
  <c r="G23" i="4" s="1"/>
  <c r="F24" i="7"/>
  <c r="G24" i="7" s="1"/>
  <c r="F21" i="7"/>
  <c r="G21" i="7" s="1"/>
  <c r="F20" i="7"/>
  <c r="G20" i="7" s="1"/>
  <c r="F22" i="7"/>
  <c r="G22" i="7" s="1"/>
  <c r="F23" i="7"/>
  <c r="G23" i="7" s="1"/>
  <c r="F22" i="2"/>
  <c r="G22" i="2" s="1"/>
  <c r="F24" i="2"/>
  <c r="G24" i="2" s="1"/>
  <c r="F23" i="2"/>
  <c r="G23" i="2" s="1"/>
  <c r="F20" i="2"/>
  <c r="G20" i="2" s="1"/>
  <c r="F21" i="2"/>
  <c r="G21" i="2" s="1"/>
  <c r="S36" i="2"/>
  <c r="R27" i="2" s="1"/>
  <c r="R31" i="6"/>
  <c r="S31" i="6" s="1"/>
  <c r="R30" i="6"/>
  <c r="S30" i="6" s="1"/>
  <c r="R29" i="6"/>
  <c r="S29" i="6" s="1"/>
  <c r="X9" i="7"/>
  <c r="N24" i="7"/>
  <c r="O36" i="7"/>
  <c r="P36" i="7" s="1"/>
  <c r="O37" i="7"/>
  <c r="P37" i="7" s="1"/>
  <c r="O38" i="7"/>
  <c r="P38" i="7" s="1"/>
  <c r="K40" i="7"/>
  <c r="K41" i="7"/>
  <c r="K42" i="7" s="1"/>
  <c r="K43" i="7" s="1"/>
  <c r="N51" i="7"/>
  <c r="N25" i="4"/>
  <c r="X53" i="4"/>
  <c r="X56" i="4" s="1"/>
  <c r="S63" i="4" s="1"/>
  <c r="S65" i="4" s="1"/>
  <c r="R55" i="4" s="1"/>
  <c r="N68" i="4"/>
  <c r="O60" i="4" s="1"/>
  <c r="N45" i="4"/>
  <c r="K40" i="2"/>
  <c r="K41" i="2"/>
  <c r="K42" i="2" s="1"/>
  <c r="K43" i="2" s="1"/>
  <c r="K40" i="4"/>
  <c r="K41" i="4"/>
  <c r="K42" i="4" s="1"/>
  <c r="K43" i="4" s="1"/>
  <c r="O10" i="2"/>
  <c r="O9" i="2"/>
  <c r="O11" i="2"/>
  <c r="O12" i="2"/>
  <c r="S35" i="2"/>
  <c r="Q31" i="2"/>
  <c r="Q32" i="2"/>
  <c r="Q30" i="2"/>
  <c r="E14" i="1"/>
  <c r="G26" i="2" l="1"/>
  <c r="G28" i="2" s="1"/>
  <c r="S33" i="6"/>
  <c r="R37" i="7"/>
  <c r="S37" i="7" s="1"/>
  <c r="R36" i="7"/>
  <c r="S36" i="7" s="1"/>
  <c r="R38" i="7"/>
  <c r="S38" i="7" s="1"/>
  <c r="O10" i="7"/>
  <c r="O11" i="7"/>
  <c r="O9" i="7"/>
  <c r="G26" i="7"/>
  <c r="R54" i="4"/>
  <c r="S61" i="4" s="1"/>
  <c r="O36" i="4"/>
  <c r="P36" i="4" s="1"/>
  <c r="O37" i="4"/>
  <c r="P37" i="4" s="1"/>
  <c r="O35" i="4"/>
  <c r="P35" i="4" s="1"/>
  <c r="G26" i="4"/>
  <c r="K4" i="4" s="1"/>
  <c r="O11" i="4"/>
  <c r="P11" i="4" s="1"/>
  <c r="O10" i="4"/>
  <c r="P10" i="4" s="1"/>
  <c r="P9" i="2"/>
  <c r="P11" i="2"/>
  <c r="P10" i="2"/>
  <c r="P12" i="2"/>
  <c r="K4" i="2" l="1"/>
  <c r="K8" i="2" s="1"/>
  <c r="K10" i="2" s="1"/>
  <c r="K11" i="2" s="1"/>
  <c r="S35" i="6"/>
  <c r="X24" i="6"/>
  <c r="X27" i="6" s="1"/>
  <c r="X38" i="7"/>
  <c r="X37" i="7"/>
  <c r="P9" i="7"/>
  <c r="P11" i="7"/>
  <c r="P10" i="7"/>
  <c r="K4" i="7"/>
  <c r="G28" i="7"/>
  <c r="S64" i="4"/>
  <c r="X55" i="4"/>
  <c r="R36" i="4"/>
  <c r="S36" i="4" s="1"/>
  <c r="R37" i="4"/>
  <c r="S37" i="4" s="1"/>
  <c r="X6" i="4" s="1"/>
  <c r="R35" i="4"/>
  <c r="S35" i="4" s="1"/>
  <c r="R11" i="4"/>
  <c r="S11" i="4" s="1"/>
  <c r="R10" i="4"/>
  <c r="S10" i="4" s="1"/>
  <c r="G28" i="4"/>
  <c r="R10" i="2"/>
  <c r="S10" i="2" s="1"/>
  <c r="R11" i="2"/>
  <c r="S11" i="2" s="1"/>
  <c r="R12" i="2"/>
  <c r="S12" i="2" s="1"/>
  <c r="X4" i="2" s="1"/>
  <c r="R9" i="2"/>
  <c r="S9" i="2" s="1"/>
  <c r="K8" i="4"/>
  <c r="X5" i="2" l="1"/>
  <c r="X6" i="2" s="1"/>
  <c r="X10" i="2" s="1"/>
  <c r="G30" i="2"/>
  <c r="G32" i="2" s="1"/>
  <c r="S37" i="6"/>
  <c r="X29" i="6"/>
  <c r="X30" i="6" s="1"/>
  <c r="X39" i="7"/>
  <c r="S39" i="7" s="1"/>
  <c r="S41" i="7"/>
  <c r="R11" i="7"/>
  <c r="S11" i="7" s="1"/>
  <c r="X6" i="7" s="1"/>
  <c r="R10" i="7"/>
  <c r="S10" i="7" s="1"/>
  <c r="R9" i="7"/>
  <c r="S9" i="7" s="1"/>
  <c r="K8" i="7"/>
  <c r="X5" i="4"/>
  <c r="X7" i="4" s="1"/>
  <c r="S38" i="4" s="1"/>
  <c r="S40" i="4" s="1"/>
  <c r="X9" i="2"/>
  <c r="S13" i="4"/>
  <c r="G30" i="4"/>
  <c r="K10" i="4"/>
  <c r="K11" i="4" s="1"/>
  <c r="O6" i="1"/>
  <c r="S15" i="2" l="1"/>
  <c r="K15" i="2"/>
  <c r="K13" i="2" s="1"/>
  <c r="K14" i="2" s="1"/>
  <c r="K16" i="2" s="1"/>
  <c r="K18" i="2"/>
  <c r="K19" i="2" s="1"/>
  <c r="X31" i="6"/>
  <c r="X32" i="6"/>
  <c r="S39" i="6"/>
  <c r="X35" i="6"/>
  <c r="X38" i="6"/>
  <c r="X39" i="6" s="1"/>
  <c r="X45" i="7"/>
  <c r="X44" i="7"/>
  <c r="X51" i="7"/>
  <c r="X52" i="7" s="1"/>
  <c r="X40" i="7"/>
  <c r="S43" i="7"/>
  <c r="X5" i="7"/>
  <c r="X7" i="7" s="1"/>
  <c r="S12" i="7" s="1"/>
  <c r="S14" i="7" s="1"/>
  <c r="G30" i="7"/>
  <c r="K10" i="7"/>
  <c r="K11" i="7" s="1"/>
  <c r="S42" i="4"/>
  <c r="X8" i="4"/>
  <c r="X14" i="4" s="1"/>
  <c r="X13" i="4"/>
  <c r="X16" i="4" s="1"/>
  <c r="X19" i="4"/>
  <c r="S15" i="4"/>
  <c r="G32" i="4"/>
  <c r="K18" i="4"/>
  <c r="K19" i="4" s="1"/>
  <c r="K15" i="4"/>
  <c r="K13" i="4" s="1"/>
  <c r="K14" i="4" s="1"/>
  <c r="K16" i="4" s="1"/>
  <c r="F40" i="1"/>
  <c r="X43" i="7" l="1"/>
  <c r="X58" i="7" s="1"/>
  <c r="X59" i="7" s="1"/>
  <c r="X15" i="2"/>
  <c r="X18" i="2" s="1"/>
  <c r="S19" i="2" s="1"/>
  <c r="S17" i="2"/>
  <c r="K20" i="2"/>
  <c r="K21" i="2" s="1"/>
  <c r="K22" i="2" s="1"/>
  <c r="K23" i="2" s="1"/>
  <c r="K24" i="2" s="1"/>
  <c r="K26" i="2" s="1"/>
  <c r="K27" i="2" s="1"/>
  <c r="K29" i="2" s="1"/>
  <c r="K30" i="2" s="1"/>
  <c r="K31" i="2" s="1"/>
  <c r="X40" i="6"/>
  <c r="X41" i="6" s="1"/>
  <c r="X42" i="6" s="1"/>
  <c r="X36" i="6"/>
  <c r="X49" i="7"/>
  <c r="X47" i="7"/>
  <c r="X8" i="7"/>
  <c r="X11" i="7" s="1"/>
  <c r="S16" i="7"/>
  <c r="G32" i="7"/>
  <c r="K18" i="7"/>
  <c r="K19" i="7" s="1"/>
  <c r="K15" i="7"/>
  <c r="K13" i="7" s="1"/>
  <c r="K14" i="7" s="1"/>
  <c r="K16" i="7" s="1"/>
  <c r="S46" i="4"/>
  <c r="X11" i="4"/>
  <c r="S44" i="4" s="1"/>
  <c r="S23" i="4"/>
  <c r="X9" i="4"/>
  <c r="X22" i="4"/>
  <c r="K20" i="4"/>
  <c r="K21" i="4" s="1"/>
  <c r="K22" i="4" s="1"/>
  <c r="O37" i="1"/>
  <c r="X53" i="7" l="1"/>
  <c r="X54" i="7" s="1"/>
  <c r="R4" i="2"/>
  <c r="S21" i="2"/>
  <c r="R5" i="2" s="1"/>
  <c r="G34" i="2"/>
  <c r="G38" i="2" s="1"/>
  <c r="G36" i="2"/>
  <c r="X43" i="6"/>
  <c r="X44" i="6" s="1"/>
  <c r="X46" i="6" s="1"/>
  <c r="X47" i="6" s="1"/>
  <c r="X49" i="6" s="1"/>
  <c r="X50" i="6" s="1"/>
  <c r="X51" i="6" s="1"/>
  <c r="S43" i="6"/>
  <c r="K20" i="7"/>
  <c r="K21" i="7" s="1"/>
  <c r="K22" i="7" s="1"/>
  <c r="X50" i="7"/>
  <c r="X41" i="7"/>
  <c r="S18" i="7"/>
  <c r="X13" i="7"/>
  <c r="X14" i="7" s="1"/>
  <c r="S48" i="4"/>
  <c r="R31" i="4" s="1"/>
  <c r="R30" i="4"/>
  <c r="X24" i="4"/>
  <c r="X25" i="4" s="1"/>
  <c r="S17" i="4"/>
  <c r="X33" i="4" s="1"/>
  <c r="K23" i="4"/>
  <c r="K24" i="4" s="1"/>
  <c r="K26" i="4" s="1"/>
  <c r="K27" i="4" s="1"/>
  <c r="K29" i="4" s="1"/>
  <c r="K30" i="4" s="1"/>
  <c r="K31" i="4" s="1"/>
  <c r="S47" i="7" l="1"/>
  <c r="X56" i="7"/>
  <c r="S45" i="7" s="1"/>
  <c r="S13" i="2"/>
  <c r="X17" i="2"/>
  <c r="S20" i="2"/>
  <c r="Q9" i="2"/>
  <c r="Q12" i="2"/>
  <c r="S16" i="2"/>
  <c r="Q10" i="2"/>
  <c r="Q11" i="2"/>
  <c r="G36" i="4"/>
  <c r="S41" i="6"/>
  <c r="S45" i="6" s="1"/>
  <c r="S20" i="7"/>
  <c r="X18" i="7"/>
  <c r="X16" i="7" s="1"/>
  <c r="X17" i="7" s="1"/>
  <c r="X21" i="7"/>
  <c r="X22" i="7" s="1"/>
  <c r="G36" i="7"/>
  <c r="K23" i="7"/>
  <c r="K24" i="7" s="1"/>
  <c r="K26" i="7" s="1"/>
  <c r="K27" i="7" s="1"/>
  <c r="K29" i="7" s="1"/>
  <c r="K30" i="7" s="1"/>
  <c r="K31" i="7" s="1"/>
  <c r="S47" i="4"/>
  <c r="S45" i="4"/>
  <c r="Q35" i="4"/>
  <c r="S41" i="4"/>
  <c r="Q36" i="4"/>
  <c r="Q37" i="4"/>
  <c r="X10" i="4"/>
  <c r="S19" i="4"/>
  <c r="X30" i="4"/>
  <c r="X34" i="4" s="1"/>
  <c r="X26" i="4"/>
  <c r="X27" i="4"/>
  <c r="G34" i="4"/>
  <c r="S49" i="7" l="1"/>
  <c r="X67" i="7"/>
  <c r="X68" i="7" s="1"/>
  <c r="X69" i="7" s="1"/>
  <c r="X70" i="7" s="1"/>
  <c r="X71" i="7" s="1"/>
  <c r="S53" i="7" s="1"/>
  <c r="X64" i="7"/>
  <c r="X60" i="7" s="1"/>
  <c r="X61" i="7" s="1"/>
  <c r="X65" i="7" s="1"/>
  <c r="R24" i="6"/>
  <c r="X26" i="6" s="1"/>
  <c r="R25" i="6"/>
  <c r="G34" i="7"/>
  <c r="G38" i="7" s="1"/>
  <c r="X23" i="7"/>
  <c r="X24" i="7" s="1"/>
  <c r="X19" i="7"/>
  <c r="X35" i="4"/>
  <c r="X38" i="4" s="1"/>
  <c r="X39" i="4" s="1"/>
  <c r="X41" i="4" s="1"/>
  <c r="X42" i="4" s="1"/>
  <c r="X44" i="4" s="1"/>
  <c r="X45" i="4" s="1"/>
  <c r="X46" i="4" s="1"/>
  <c r="G38" i="4"/>
  <c r="X31" i="4"/>
  <c r="S51" i="7" l="1"/>
  <c r="S55" i="7" s="1"/>
  <c r="R31" i="7" s="1"/>
  <c r="X72" i="7"/>
  <c r="X73" i="7" s="1"/>
  <c r="X75" i="7" s="1"/>
  <c r="X76" i="7" s="1"/>
  <c r="X78" i="7" s="1"/>
  <c r="X79" i="7" s="1"/>
  <c r="X80" i="7" s="1"/>
  <c r="Q29" i="6"/>
  <c r="Q30" i="6"/>
  <c r="S38" i="6"/>
  <c r="Q31" i="6"/>
  <c r="S44" i="6"/>
  <c r="S34" i="6"/>
  <c r="S42" i="6"/>
  <c r="X25" i="7"/>
  <c r="S24" i="7" s="1"/>
  <c r="R30" i="7" s="1"/>
  <c r="X42" i="7" s="1"/>
  <c r="X36" i="4"/>
  <c r="S21" i="4" s="1"/>
  <c r="R4" i="4" s="1"/>
  <c r="S54" i="7" l="1"/>
  <c r="S52" i="7"/>
  <c r="S48" i="7"/>
  <c r="S46" i="7"/>
  <c r="S42" i="7"/>
  <c r="Q38" i="7"/>
  <c r="Q36" i="7"/>
  <c r="Q37" i="7"/>
  <c r="X26" i="7"/>
  <c r="X27" i="7" s="1"/>
  <c r="X29" i="7" s="1"/>
  <c r="X30" i="7" s="1"/>
  <c r="S25" i="4"/>
  <c r="R5" i="4" s="1"/>
  <c r="S18" i="4"/>
  <c r="S22" i="4"/>
  <c r="Q10" i="4"/>
  <c r="X21" i="4"/>
  <c r="S14" i="4"/>
  <c r="S24" i="4"/>
  <c r="Q11" i="4"/>
  <c r="X32" i="7" l="1"/>
  <c r="X33" i="7" s="1"/>
  <c r="X34" i="7" s="1"/>
  <c r="S22" i="7"/>
  <c r="R5" i="7" l="1"/>
  <c r="X10" i="7" s="1"/>
  <c r="S26" i="7"/>
  <c r="R6" i="7" l="1"/>
  <c r="Q9" i="7"/>
  <c r="S23" i="7"/>
  <c r="S19" i="7"/>
  <c r="S15" i="7"/>
  <c r="Q11" i="7"/>
  <c r="Q10" i="7"/>
  <c r="S25" i="7"/>
  <c r="C11" i="1" l="1"/>
  <c r="A21" i="1" s="1"/>
  <c r="B20" i="6"/>
  <c r="B25" i="6" s="1"/>
  <c r="O38" i="1" l="1"/>
  <c r="F41" i="1"/>
  <c r="O36" i="1"/>
  <c r="K37" i="6"/>
  <c r="B38" i="6"/>
  <c r="K35" i="6"/>
  <c r="G25" i="1" l="1"/>
  <c r="H25" i="1" s="1"/>
  <c r="G27" i="1"/>
  <c r="H27" i="1" s="1"/>
  <c r="G23" i="1"/>
  <c r="H23" i="1" s="1"/>
  <c r="G24" i="1"/>
  <c r="H24" i="1" s="1"/>
  <c r="G26" i="1"/>
  <c r="H26" i="1" s="1"/>
  <c r="F6" i="7"/>
  <c r="F4" i="7"/>
  <c r="F12" i="4"/>
  <c r="F6" i="2"/>
  <c r="F5" i="2"/>
  <c r="F5" i="4"/>
  <c r="F12" i="7"/>
  <c r="F4" i="2"/>
  <c r="E20" i="2" s="1"/>
  <c r="F4" i="4"/>
  <c r="F12" i="2"/>
  <c r="F13" i="4"/>
  <c r="F13" i="7"/>
  <c r="F13" i="2"/>
  <c r="F14" i="7"/>
  <c r="F5" i="7"/>
  <c r="F6" i="4"/>
  <c r="F14" i="2"/>
  <c r="F14" i="4"/>
  <c r="C24" i="6"/>
  <c r="D24" i="6" s="1"/>
  <c r="C22" i="6"/>
  <c r="D22" i="6" s="1"/>
  <c r="C23" i="6"/>
  <c r="D23" i="6" s="1"/>
  <c r="C21" i="6"/>
  <c r="D21" i="6" s="1"/>
  <c r="K38" i="6"/>
  <c r="F12" i="6" s="1"/>
  <c r="K39" i="6"/>
  <c r="C20" i="6"/>
  <c r="D20" i="6" s="1"/>
  <c r="O39" i="1"/>
  <c r="J16" i="1" s="1"/>
  <c r="O40" i="1"/>
  <c r="F23" i="6" l="1"/>
  <c r="G23" i="6" s="1"/>
  <c r="F22" i="6"/>
  <c r="G22" i="6" s="1"/>
  <c r="F24" i="6"/>
  <c r="G24" i="6" s="1"/>
  <c r="F21" i="6"/>
  <c r="G21" i="6" s="1"/>
  <c r="F20" i="6"/>
  <c r="G20" i="6" s="1"/>
  <c r="O42" i="1"/>
  <c r="O43" i="1" s="1"/>
  <c r="O44" i="1" s="1"/>
  <c r="J17" i="1" s="1"/>
  <c r="O41" i="1"/>
  <c r="J18" i="1" s="1"/>
  <c r="E23" i="4"/>
  <c r="E22" i="4"/>
  <c r="G37" i="4"/>
  <c r="G27" i="4"/>
  <c r="E21" i="4"/>
  <c r="G31" i="4"/>
  <c r="G35" i="4"/>
  <c r="E24" i="4"/>
  <c r="E20" i="4"/>
  <c r="K6" i="4"/>
  <c r="K41" i="6"/>
  <c r="K42" i="6" s="1"/>
  <c r="K43" i="6" s="1"/>
  <c r="F13" i="6" s="1"/>
  <c r="K40" i="6"/>
  <c r="G37" i="2"/>
  <c r="K6" i="2"/>
  <c r="E21" i="2"/>
  <c r="G27" i="2"/>
  <c r="E24" i="2"/>
  <c r="E23" i="2"/>
  <c r="E22" i="2"/>
  <c r="G35" i="2"/>
  <c r="G31" i="2"/>
  <c r="J26" i="1"/>
  <c r="K26" i="1" s="1"/>
  <c r="J23" i="1"/>
  <c r="K23" i="1" s="1"/>
  <c r="J27" i="1"/>
  <c r="K27" i="1" s="1"/>
  <c r="J24" i="1"/>
  <c r="K24" i="1" s="1"/>
  <c r="J25" i="1"/>
  <c r="K25" i="1" s="1"/>
  <c r="E20" i="7"/>
  <c r="E24" i="7"/>
  <c r="E23" i="7"/>
  <c r="G35" i="7"/>
  <c r="K6" i="7"/>
  <c r="G37" i="7"/>
  <c r="G31" i="7"/>
  <c r="E22" i="7"/>
  <c r="G27" i="7"/>
  <c r="E21" i="7"/>
  <c r="G26" i="6" l="1"/>
  <c r="K29" i="1"/>
  <c r="O5" i="1" l="1"/>
  <c r="O9" i="1" s="1"/>
  <c r="K31" i="1"/>
  <c r="K4" i="6"/>
  <c r="G28" i="6"/>
  <c r="K8" i="6" l="1"/>
  <c r="G30" i="6" s="1"/>
  <c r="F14" i="6"/>
  <c r="O11" i="1"/>
  <c r="O12" i="1" s="1"/>
  <c r="K33" i="1"/>
  <c r="K10" i="6" l="1"/>
  <c r="K11" i="6" s="1"/>
  <c r="K15" i="6" s="1"/>
  <c r="K13" i="6" s="1"/>
  <c r="K14" i="6" s="1"/>
  <c r="K35" i="1"/>
  <c r="J10" i="1" s="1"/>
  <c r="O16" i="1"/>
  <c r="O14" i="1" s="1"/>
  <c r="O19" i="1"/>
  <c r="O20" i="1" s="1"/>
  <c r="G32" i="6"/>
  <c r="F6" i="6" s="1"/>
  <c r="K18" i="6"/>
  <c r="K19" i="6" s="1"/>
  <c r="O15" i="1" l="1"/>
  <c r="O17" i="1" s="1"/>
  <c r="K16" i="6"/>
  <c r="K20" i="6"/>
  <c r="K21" i="6" s="1"/>
  <c r="K22" i="6" s="1"/>
  <c r="O21" i="1" l="1"/>
  <c r="O22" i="1" s="1"/>
  <c r="O23" i="1" s="1"/>
  <c r="K23" i="6"/>
  <c r="K24" i="6" s="1"/>
  <c r="K26" i="6" s="1"/>
  <c r="K27" i="6" s="1"/>
  <c r="K29" i="6" s="1"/>
  <c r="K30" i="6" s="1"/>
  <c r="K31" i="6" s="1"/>
  <c r="G34" i="6" s="1"/>
  <c r="G36" i="6" l="1"/>
  <c r="O24" i="1"/>
  <c r="O25" i="1" s="1"/>
  <c r="O27" i="1" s="1"/>
  <c r="O28" i="1" s="1"/>
  <c r="O30" i="1" s="1"/>
  <c r="O31" i="1" s="1"/>
  <c r="O32" i="1" s="1"/>
  <c r="G38" i="6"/>
  <c r="F5" i="6" s="1"/>
  <c r="F4" i="6"/>
  <c r="K39" i="1" l="1"/>
  <c r="K37" i="1"/>
  <c r="K41" i="1" s="1"/>
  <c r="J9" i="1" s="1"/>
  <c r="G27" i="6"/>
  <c r="G31" i="6"/>
  <c r="G35" i="6"/>
  <c r="G37" i="6"/>
  <c r="E20" i="6"/>
  <c r="E23" i="6"/>
  <c r="E24" i="6"/>
  <c r="E22" i="6"/>
  <c r="E21" i="6"/>
  <c r="K6" i="6"/>
  <c r="P9" i="6"/>
  <c r="P11" i="6"/>
  <c r="P10" i="6"/>
  <c r="J8" i="1" l="1"/>
  <c r="R9" i="6"/>
  <c r="S9" i="6" s="1"/>
  <c r="R11" i="6"/>
  <c r="S11" i="6" s="1"/>
  <c r="R10" i="6"/>
  <c r="S10" i="6" s="1"/>
  <c r="K40" i="1" l="1"/>
  <c r="I27" i="1"/>
  <c r="I26" i="1"/>
  <c r="I23" i="1"/>
  <c r="I24" i="1"/>
  <c r="I25" i="1"/>
  <c r="K34" i="1"/>
  <c r="K30" i="1"/>
  <c r="O7" i="1"/>
  <c r="K38" i="1"/>
  <c r="S13" i="6"/>
  <c r="S15" i="6" l="1"/>
  <c r="X4" i="6"/>
  <c r="X7" i="6" s="1"/>
  <c r="S17" i="6" s="1"/>
  <c r="S19" i="6" s="1"/>
  <c r="R6" i="6" l="1"/>
  <c r="R5" i="6"/>
  <c r="X6" i="6" s="1"/>
  <c r="Q11" i="6" l="1"/>
  <c r="S18" i="6"/>
  <c r="S14" i="6"/>
  <c r="Q10" i="6"/>
  <c r="Q9" i="6"/>
</calcChain>
</file>

<file path=xl/sharedStrings.xml><?xml version="1.0" encoding="utf-8"?>
<sst xmlns="http://schemas.openxmlformats.org/spreadsheetml/2006/main" count="899" uniqueCount="173">
  <si>
    <t>FREJUS ROSE</t>
  </si>
  <si>
    <t>SV ROSE</t>
  </si>
  <si>
    <t>PF ROUGE</t>
  </si>
  <si>
    <t>Superficie parcelle</t>
  </si>
  <si>
    <t>CEPAGE EN AOC</t>
  </si>
  <si>
    <t>Superficie parcellaire AOC CDP</t>
  </si>
  <si>
    <t>% principaux</t>
  </si>
  <si>
    <t>Aucun cépage principal &gt;90% : superficie retenue</t>
  </si>
  <si>
    <t>soit % recalculé</t>
  </si>
  <si>
    <t>Au moins 2 cépages principaux : superificie retenue</t>
  </si>
  <si>
    <t>Superficie cépages principaux retenue
Ha</t>
  </si>
  <si>
    <t>Total Secondaires 30% si cépages principaux 70% = max revendicable secondaires</t>
  </si>
  <si>
    <t>Superficie parcellaire FR CDP</t>
  </si>
  <si>
    <t>Aucun cépage principal &gt;60% : superficie retenue</t>
  </si>
  <si>
    <t>Total Autres 90% si Tibouren 10% = max revendicable autres</t>
  </si>
  <si>
    <t>Superficie parcellaire LL CDP</t>
  </si>
  <si>
    <t>Total mourvèdre 50% si Grenache+Syrah 50% = max mourvèdre</t>
  </si>
  <si>
    <t>Superficie parcellaire SV CDP</t>
  </si>
  <si>
    <t>Aucun cépage principal &gt;80% : superficie retenue</t>
  </si>
  <si>
    <t>Total cinsaut 50% si Grenache+Syrah 50% = max cinsaut</t>
  </si>
  <si>
    <t>Superficie parcellaire PF CDP</t>
  </si>
  <si>
    <t>Total Secondaires 20% si cépages principaux 80% = max revendicable secondaires</t>
  </si>
  <si>
    <t>AOC</t>
  </si>
  <si>
    <t>GRENACHE N</t>
  </si>
  <si>
    <t>Noirs encépagement</t>
  </si>
  <si>
    <t>Autres encépagement</t>
  </si>
  <si>
    <t>Mourvèdre encépagement</t>
  </si>
  <si>
    <t>Cinsaut encépagement</t>
  </si>
  <si>
    <t>SYRAH N</t>
  </si>
  <si>
    <t>Pourcentage secondaire max revendicable avec % principaux réel</t>
  </si>
  <si>
    <t>Autres revendicables</t>
  </si>
  <si>
    <t>Mouvèdre revendicables</t>
  </si>
  <si>
    <t>Cinsaut revendicables</t>
  </si>
  <si>
    <t>MOURVEDRE N</t>
  </si>
  <si>
    <t>CINSAUT N</t>
  </si>
  <si>
    <t>Noirs secondaires revendicables</t>
  </si>
  <si>
    <t>TIBOUREN N</t>
  </si>
  <si>
    <t>Principaux en AOC</t>
  </si>
  <si>
    <t>Mourvèdre &lt;50%</t>
  </si>
  <si>
    <t>Cinsaut &lt;50%</t>
  </si>
  <si>
    <t>Tibouren (10% min pour récoltes 2015 à 2019 ensuite 20%) soit</t>
  </si>
  <si>
    <t>%</t>
  </si>
  <si>
    <t>Principaux encépagement</t>
  </si>
  <si>
    <t>Cépages principaux revendicables Ha</t>
  </si>
  <si>
    <t>Total Blanc 20%  max revendicable en blanc (en fonction % secondaires)</t>
  </si>
  <si>
    <t>Principaux revendicables</t>
  </si>
  <si>
    <t>CARIGNAN N</t>
  </si>
  <si>
    <t>(80% minimum)   soit</t>
  </si>
  <si>
    <t>Superficie max revendicable blanc (en fonction % secondaires)</t>
  </si>
  <si>
    <t>CABERNET SAUVIGNON N</t>
  </si>
  <si>
    <t>soit</t>
  </si>
  <si>
    <t>Cépages principaux déclassés Ha</t>
  </si>
  <si>
    <t>(80% min) soit</t>
  </si>
  <si>
    <t>%Cab sauv</t>
  </si>
  <si>
    <t>Secondaires Noirs</t>
  </si>
  <si>
    <t>%blanc max</t>
  </si>
  <si>
    <t>Max Cab Sauv 10%</t>
  </si>
  <si>
    <t>Cépages secondaires noirs revendicables Rs/Rg Ha</t>
  </si>
  <si>
    <t>CALITOR NOIR N</t>
  </si>
  <si>
    <t>Blanc revendicable avec respect 20% encépagement</t>
  </si>
  <si>
    <t>Cab Sauv encépagement</t>
  </si>
  <si>
    <t>TOTAL ENCEPAGEMENT</t>
  </si>
  <si>
    <t>(20% max) soit</t>
  </si>
  <si>
    <t>BARBAR.RS</t>
  </si>
  <si>
    <t>Avec Superficie totale revendicable avant</t>
  </si>
  <si>
    <t>Cab Sauv revendicables</t>
  </si>
  <si>
    <t>VERMENTINO B</t>
  </si>
  <si>
    <t>Cépages secondaires noirs déclassés</t>
  </si>
  <si>
    <t>Superficie Revendicable après</t>
  </si>
  <si>
    <t xml:space="preserve">Cabernet Sauvignon </t>
  </si>
  <si>
    <t>UGNI BLANC B</t>
  </si>
  <si>
    <t>(10% max) soit</t>
  </si>
  <si>
    <t>CLAIRET.B</t>
  </si>
  <si>
    <t>Superfice totale revendicable satisfaisant aux conditions PF Rg</t>
  </si>
  <si>
    <t>10% revendicable</t>
  </si>
  <si>
    <t>SEMILLON B</t>
  </si>
  <si>
    <t>Cépages secondaires blc revendicables prRs/Rg Ha</t>
  </si>
  <si>
    <t>Cépages principaux et secondaires non revendicables en PF Rg</t>
  </si>
  <si>
    <t>Somme blanc max revendicable limite 10%</t>
  </si>
  <si>
    <t>Superfice totale revendicable satisfaisant aux conditions FR Rs</t>
  </si>
  <si>
    <t>Total Blancs</t>
  </si>
  <si>
    <t>Somme blanc revendicabe dans limite 10% et 20%</t>
  </si>
  <si>
    <t>Superfice totale revendicable satisfaisant aux conditions LL Rg</t>
  </si>
  <si>
    <t>Somme Ugni+Clairette+Semillon</t>
  </si>
  <si>
    <t>Max Superficie Vermentino revendicable</t>
  </si>
  <si>
    <t>Cépages principaux et secondaires non revendicables en FR Rs</t>
  </si>
  <si>
    <t>Cépages principaux et secondaires non revendicables en LL Rg</t>
  </si>
  <si>
    <t>Superficie Vermentino revendicable</t>
  </si>
  <si>
    <t>Superficie revendicable Blc uniquement</t>
  </si>
  <si>
    <t>PF ROSE</t>
  </si>
  <si>
    <t>Superficie blanc revendicable</t>
  </si>
  <si>
    <t>Superfice totale revendicable satisfaisant aux conditions SV Rs</t>
  </si>
  <si>
    <t>Superfice totale revendicable satisfaisant aux conditions Rs/Rg</t>
  </si>
  <si>
    <t>FREJUS ROUGE</t>
  </si>
  <si>
    <t>Cépages principaux et secondaires non revendicables en SV RS</t>
  </si>
  <si>
    <t>Superfice totale revendicable uniquement en Blc</t>
  </si>
  <si>
    <t>10%rev</t>
  </si>
  <si>
    <t>Cépages principaux et secondaires noirs déclassés</t>
  </si>
  <si>
    <t>SV ROUGE</t>
  </si>
  <si>
    <t>Superfice totale revendicable (50% principaux min)</t>
  </si>
  <si>
    <t>Cas &lt; 1,5ha</t>
  </si>
  <si>
    <t>Total secondaires 50 % Secondaires si principaux 50% = max secondaires</t>
  </si>
  <si>
    <t>Secondaires totaux encépagement</t>
  </si>
  <si>
    <t>Superfice totale revendicable satisfaisant aux conditions FR Rg</t>
  </si>
  <si>
    <t>Secondaires revendicables</t>
  </si>
  <si>
    <t>Cépages principaux non revendicables en FR Rg</t>
  </si>
  <si>
    <t>Secondaires déclassés</t>
  </si>
  <si>
    <t>Secondaires noirs déclassés</t>
  </si>
  <si>
    <t>Secondaires noirs revendicables</t>
  </si>
  <si>
    <t>Reste en secondaires revendicables</t>
  </si>
  <si>
    <t>Noirs secondaires revendicables respect 20%</t>
  </si>
  <si>
    <t>Blancs uniquement</t>
  </si>
  <si>
    <t>Superfice totale revendicable satisfaisant aux conditions PF Rs</t>
  </si>
  <si>
    <t>Max Cab Sauv</t>
  </si>
  <si>
    <t>Cépages principaux et secondaires non revendicables en PF Rs</t>
  </si>
  <si>
    <t>Noirs revendicables avant</t>
  </si>
  <si>
    <t>Noirs revendicables après</t>
  </si>
  <si>
    <t>Cab sauv dans limite 10%</t>
  </si>
  <si>
    <t>Total Secondaires 50% si cépages principaux 50% = max revendicable secondaires</t>
  </si>
  <si>
    <t>Cab dans limite 10% et 20%</t>
  </si>
  <si>
    <t>Blancs secondaires encépagement</t>
  </si>
  <si>
    <t>Superfice totale revendicable satisfaisant aux conditions SV Rg</t>
  </si>
  <si>
    <t>Cab sauv revendicables</t>
  </si>
  <si>
    <t>(50% minimum)   soit</t>
  </si>
  <si>
    <t>Cépages principaux et secondaires non revendicables en SV Rg</t>
  </si>
  <si>
    <t>Blancs secondaires revendicables</t>
  </si>
  <si>
    <t>Cépages secondaires blancs revendicables Ha</t>
  </si>
  <si>
    <t>(50% max) soit</t>
  </si>
  <si>
    <t>Cépages secondaires blancs déclassés</t>
  </si>
  <si>
    <t>Secondaires Blancs</t>
  </si>
  <si>
    <t>Superfice totale revendicable satisfaisant aux conditions LL Bl</t>
  </si>
  <si>
    <t>Cépages secondaires blancs non revendicables en LL Bl</t>
  </si>
  <si>
    <t>MOURVED.N</t>
  </si>
  <si>
    <t>CAB.SAUV.N</t>
  </si>
  <si>
    <t>CALITOR N</t>
  </si>
  <si>
    <t>VERMENT.B</t>
  </si>
  <si>
    <t>UGNI B</t>
  </si>
  <si>
    <t>Cépages</t>
  </si>
  <si>
    <t xml:space="preserve">LL : La Londe </t>
  </si>
  <si>
    <t>FR : Fréjus</t>
  </si>
  <si>
    <t>SV: Sainte Victoire</t>
  </si>
  <si>
    <t xml:space="preserve"> PF: Pierrefeu</t>
  </si>
  <si>
    <t>Surfaces sans Jeunes Vignes</t>
  </si>
  <si>
    <t>PF</t>
  </si>
  <si>
    <t>LL</t>
  </si>
  <si>
    <t>SV</t>
  </si>
  <si>
    <t>FR</t>
  </si>
  <si>
    <t>Pas de DGC</t>
  </si>
  <si>
    <t xml:space="preserve">Règles d'encépagement et potentiel de production </t>
  </si>
  <si>
    <t>POTENTIEL DE PRODUCTION MAXIMUM COTES DE PROVENCE SANS DGC</t>
  </si>
  <si>
    <t>Potentiel de production :</t>
  </si>
  <si>
    <t>Règles d'encépagement, calculs</t>
  </si>
  <si>
    <t>POTENTIEL DE PRODUCTION MAXIMUM COTES DE PROVENCE TOTAL GENERIQUE + DGC</t>
  </si>
  <si>
    <t xml:space="preserve">DETAIL DU CALCUL ET REGLES D'ENCEPAGEMENT </t>
  </si>
  <si>
    <t>LA LONDE ROSE</t>
  </si>
  <si>
    <t>POTENTIEL DE PRODUCTION MAXIMUM DGC LA LONDE</t>
  </si>
  <si>
    <t>LA LONDE ROUGE</t>
  </si>
  <si>
    <t>Superfice totale revendicable satisfaisant aux conditions LL RS</t>
  </si>
  <si>
    <t>Cépages principaux et secondaires non revendicables en LL RS</t>
  </si>
  <si>
    <t>LA LONDE BLANC</t>
  </si>
  <si>
    <t>SEMIPFON B</t>
  </si>
  <si>
    <t>Somme Ugni+Clairette+SemiPFon</t>
  </si>
  <si>
    <t>POTENTIEL DE PRODUCTION MAXIMUM DGC SAINTE VICTOIRE</t>
  </si>
  <si>
    <t>POTENTIEL DE PRODUCTION MAXIMUM DGC PIERREFEU</t>
  </si>
  <si>
    <t>POTENTIELS DE PRODUCTION MAXIMUM DGC FREJUS</t>
  </si>
  <si>
    <t xml:space="preserve">Critères Appellation 
</t>
  </si>
  <si>
    <t xml:space="preserve">Choix DGC dans la liste déroulante </t>
  </si>
  <si>
    <t>Calculatrice Potentiels de Productions AOC Côtes de Provence</t>
  </si>
  <si>
    <t>CAS SURFACE EXPLOITATION &lt; 1,5 Ha</t>
  </si>
  <si>
    <r>
      <t xml:space="preserve">TABLEAU </t>
    </r>
    <r>
      <rPr>
        <b/>
        <sz val="36"/>
        <color theme="1"/>
        <rFont val="Century Gothic"/>
        <family val="2"/>
        <scheme val="minor"/>
      </rPr>
      <t>②</t>
    </r>
    <r>
      <rPr>
        <b/>
        <sz val="16"/>
        <color theme="1"/>
        <rFont val="Century Gothic"/>
        <family val="2"/>
        <scheme val="minor"/>
      </rPr>
      <t xml:space="preserve"> DGC</t>
    </r>
  </si>
  <si>
    <t xml:space="preserve">Surface Totale de l'exploitation </t>
  </si>
  <si>
    <t>Surf. Totale DGC</t>
  </si>
  <si>
    <r>
      <rPr>
        <b/>
        <sz val="16"/>
        <rFont val="Century Gothic"/>
        <family val="2"/>
        <scheme val="minor"/>
      </rPr>
      <t>TABLEAU</t>
    </r>
    <r>
      <rPr>
        <b/>
        <sz val="14"/>
        <rFont val="Century Gothic"/>
        <family val="2"/>
        <scheme val="minor"/>
      </rPr>
      <t xml:space="preserve"> </t>
    </r>
    <r>
      <rPr>
        <b/>
        <sz val="36"/>
        <rFont val="Century Gothic"/>
        <family val="2"/>
        <scheme val="minor"/>
      </rPr>
      <t xml:space="preserve">①          </t>
    </r>
    <r>
      <rPr>
        <b/>
        <sz val="14"/>
        <rFont val="Century Gothic"/>
        <family val="2"/>
        <scheme val="minor"/>
      </rPr>
      <t>Côtes de Provence                                  GENERIQUE    +    DGC              Surfaces sans Jeunes Vignes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</si>
</sst>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"/>
  </numFmts>
  <fonts count="61" x14ac:knownFonts="1">
    <font>
      <sz val="11"/>
      <color theme="1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8"/>
      <name val="Comic Sans MS"/>
      <family val="4"/>
    </font>
    <font>
      <b/>
      <sz val="8"/>
      <name val="Arial"/>
      <family val="2"/>
    </font>
    <font>
      <sz val="10"/>
      <name val="Comic Sans MS"/>
      <family val="4"/>
    </font>
    <font>
      <b/>
      <sz val="10"/>
      <name val="Arial"/>
      <family val="2"/>
    </font>
    <font>
      <b/>
      <sz val="10"/>
      <name val="Comic Sans MS"/>
      <family val="4"/>
    </font>
    <font>
      <b/>
      <sz val="12"/>
      <color theme="1"/>
      <name val="Century Gothic"/>
      <family val="2"/>
      <scheme val="minor"/>
    </font>
    <font>
      <sz val="12"/>
      <color theme="1"/>
      <name val="Century Gothic"/>
      <family val="2"/>
      <scheme val="minor"/>
    </font>
    <font>
      <b/>
      <sz val="14"/>
      <color theme="1"/>
      <name val="Century Gothic"/>
      <family val="2"/>
      <scheme val="minor"/>
    </font>
    <font>
      <b/>
      <sz val="14"/>
      <name val="Arial"/>
      <family val="2"/>
    </font>
    <font>
      <sz val="14"/>
      <color theme="1"/>
      <name val="Century Gothic"/>
      <family val="2"/>
      <scheme val="minor"/>
    </font>
    <font>
      <sz val="12"/>
      <name val="Comic Sans MS"/>
      <family val="4"/>
    </font>
    <font>
      <b/>
      <sz val="12"/>
      <name val="Comic Sans MS"/>
      <family val="4"/>
    </font>
    <font>
      <b/>
      <sz val="9"/>
      <name val="Arial"/>
      <family val="2"/>
    </font>
    <font>
      <b/>
      <sz val="9"/>
      <name val="Comic Sans MS"/>
      <family val="4"/>
    </font>
    <font>
      <b/>
      <sz val="11"/>
      <name val="Arial"/>
      <family val="2"/>
    </font>
    <font>
      <sz val="14"/>
      <name val="Arial"/>
      <family val="2"/>
    </font>
    <font>
      <sz val="14"/>
      <color theme="5" tint="-0.249977111117893"/>
      <name val="Arial"/>
      <family val="2"/>
    </font>
    <font>
      <sz val="14"/>
      <color theme="5" tint="-0.249977111117893"/>
      <name val="Century Gothic"/>
      <family val="2"/>
      <scheme val="minor"/>
    </font>
    <font>
      <sz val="16"/>
      <color theme="1"/>
      <name val="Century Gothic"/>
      <family val="2"/>
      <scheme val="minor"/>
    </font>
    <font>
      <b/>
      <sz val="16"/>
      <name val="Arial"/>
      <family val="2"/>
    </font>
    <font>
      <b/>
      <sz val="16"/>
      <color theme="1"/>
      <name val="Century Gothic"/>
      <family val="2"/>
      <scheme val="minor"/>
    </font>
    <font>
      <sz val="9"/>
      <color theme="1"/>
      <name val="Century Gothic"/>
      <family val="2"/>
      <scheme val="minor"/>
    </font>
    <font>
      <sz val="9"/>
      <name val="Comic Sans MS"/>
      <family val="4"/>
    </font>
    <font>
      <sz val="10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b/>
      <sz val="14"/>
      <name val="Century Gothic"/>
      <family val="2"/>
      <scheme val="minor"/>
    </font>
    <font>
      <b/>
      <sz val="18"/>
      <name val="Arial"/>
      <family val="2"/>
    </font>
    <font>
      <b/>
      <sz val="28"/>
      <name val="Arial"/>
      <family val="2"/>
    </font>
    <font>
      <b/>
      <sz val="8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Arial"/>
      <family val="2"/>
    </font>
    <font>
      <sz val="12"/>
      <color theme="0"/>
      <name val="Century Gothic"/>
      <family val="2"/>
      <scheme val="minor"/>
    </font>
    <font>
      <sz val="14"/>
      <name val="Comic Sans MS"/>
      <family val="4"/>
    </font>
    <font>
      <sz val="14"/>
      <color theme="0"/>
      <name val="Century Gothic"/>
      <family val="2"/>
      <scheme val="minor"/>
    </font>
    <font>
      <sz val="12"/>
      <name val="Century Gothic"/>
      <family val="2"/>
      <scheme val="minor"/>
    </font>
    <font>
      <sz val="8"/>
      <color theme="0"/>
      <name val="Arial"/>
      <family val="2"/>
    </font>
    <font>
      <sz val="9"/>
      <color theme="0"/>
      <name val="Century Gothic"/>
      <family val="2"/>
      <scheme val="minor"/>
    </font>
    <font>
      <sz val="11"/>
      <name val="Comic Sans MS"/>
      <family val="4"/>
    </font>
    <font>
      <sz val="11"/>
      <name val="Arial"/>
      <family val="2"/>
    </font>
    <font>
      <sz val="11"/>
      <color theme="0"/>
      <name val="Arial"/>
      <family val="2"/>
    </font>
    <font>
      <sz val="14"/>
      <color theme="0"/>
      <name val="Arial"/>
      <family val="2"/>
    </font>
    <font>
      <sz val="16"/>
      <name val="Arial"/>
      <family val="2"/>
    </font>
    <font>
      <b/>
      <sz val="36"/>
      <name val="Century Gothic"/>
      <family val="2"/>
      <scheme val="minor"/>
    </font>
    <font>
      <b/>
      <sz val="36"/>
      <color theme="1"/>
      <name val="Century Gothic"/>
      <family val="2"/>
      <scheme val="minor"/>
    </font>
    <font>
      <b/>
      <sz val="20"/>
      <name val="Arial"/>
      <family val="2"/>
    </font>
    <font>
      <b/>
      <sz val="20"/>
      <color theme="1"/>
      <name val="Century Gothic"/>
      <family val="2"/>
      <scheme val="minor"/>
    </font>
    <font>
      <sz val="20"/>
      <color theme="1"/>
      <name val="Century Gothic"/>
      <family val="2"/>
      <scheme val="minor"/>
    </font>
    <font>
      <b/>
      <sz val="16"/>
      <name val="Century Gothic"/>
      <family val="2"/>
      <scheme val="minor"/>
    </font>
    <font>
      <b/>
      <sz val="9"/>
      <color theme="0"/>
      <name val="Arial"/>
      <family val="2"/>
    </font>
    <font>
      <b/>
      <sz val="8"/>
      <color theme="0"/>
      <name val="Comic Sans MS"/>
      <family val="4"/>
    </font>
    <font>
      <sz val="10"/>
      <color theme="0"/>
      <name val="Comic Sans MS"/>
      <family val="4"/>
    </font>
    <font>
      <b/>
      <sz val="10"/>
      <color theme="0"/>
      <name val="Comic Sans MS"/>
      <family val="4"/>
    </font>
  </fonts>
  <fills count="2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AF6AC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81">
    <xf numFmtId="0" fontId="0" fillId="0" borderId="0" xfId="0"/>
    <xf numFmtId="164" fontId="0" fillId="0" borderId="0" xfId="0" applyNumberFormat="1"/>
    <xf numFmtId="0" fontId="7" fillId="0" borderId="14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 wrapText="1"/>
    </xf>
    <xf numFmtId="0" fontId="5" fillId="0" borderId="12" xfId="0" applyFont="1" applyBorder="1"/>
    <xf numFmtId="165" fontId="10" fillId="8" borderId="24" xfId="0" applyNumberFormat="1" applyFont="1" applyFill="1" applyBorder="1"/>
    <xf numFmtId="164" fontId="10" fillId="8" borderId="26" xfId="0" applyNumberFormat="1" applyFont="1" applyFill="1" applyBorder="1"/>
    <xf numFmtId="0" fontId="12" fillId="0" borderId="0" xfId="0" applyFont="1"/>
    <xf numFmtId="0" fontId="4" fillId="0" borderId="12" xfId="0" applyFont="1" applyBorder="1"/>
    <xf numFmtId="0" fontId="10" fillId="8" borderId="0" xfId="0" applyFont="1" applyFill="1" applyBorder="1"/>
    <xf numFmtId="0" fontId="0" fillId="8" borderId="0" xfId="0" applyFill="1"/>
    <xf numFmtId="0" fontId="10" fillId="8" borderId="0" xfId="0" applyFont="1" applyFill="1" applyBorder="1" applyAlignment="1">
      <alignment horizontal="center"/>
    </xf>
    <xf numFmtId="0" fontId="0" fillId="8" borderId="0" xfId="0" applyFill="1" applyBorder="1"/>
    <xf numFmtId="0" fontId="9" fillId="8" borderId="0" xfId="0" applyFont="1" applyFill="1" applyBorder="1" applyAlignment="1">
      <alignment horizontal="center" vertical="center" shrinkToFit="1"/>
    </xf>
    <xf numFmtId="0" fontId="13" fillId="0" borderId="0" xfId="0" applyFont="1"/>
    <xf numFmtId="164" fontId="13" fillId="0" borderId="0" xfId="0" applyNumberFormat="1" applyFont="1"/>
    <xf numFmtId="0" fontId="5" fillId="0" borderId="4" xfId="0" applyFont="1" applyBorder="1" applyAlignment="1"/>
    <xf numFmtId="0" fontId="5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Border="1" applyAlignment="1"/>
    <xf numFmtId="0" fontId="5" fillId="0" borderId="18" xfId="0" applyFont="1" applyBorder="1" applyAlignment="1"/>
    <xf numFmtId="164" fontId="13" fillId="2" borderId="0" xfId="0" applyNumberFormat="1" applyFont="1" applyFill="1"/>
    <xf numFmtId="0" fontId="13" fillId="0" borderId="20" xfId="0" applyFont="1" applyFill="1" applyBorder="1"/>
    <xf numFmtId="0" fontId="4" fillId="0" borderId="0" xfId="0" applyFont="1" applyFill="1" applyBorder="1" applyAlignment="1">
      <alignment horizontal="center"/>
    </xf>
    <xf numFmtId="164" fontId="13" fillId="0" borderId="0" xfId="0" applyNumberFormat="1" applyFont="1" applyFill="1"/>
    <xf numFmtId="164" fontId="4" fillId="8" borderId="11" xfId="0" applyNumberFormat="1" applyFont="1" applyFill="1" applyBorder="1"/>
    <xf numFmtId="0" fontId="5" fillId="0" borderId="0" xfId="0" applyFont="1" applyFill="1" applyBorder="1" applyAlignment="1">
      <alignment horizontal="right"/>
    </xf>
    <xf numFmtId="2" fontId="13" fillId="0" borderId="0" xfId="0" applyNumberFormat="1" applyFont="1"/>
    <xf numFmtId="0" fontId="4" fillId="0" borderId="12" xfId="0" applyFont="1" applyFill="1" applyBorder="1"/>
    <xf numFmtId="0" fontId="4" fillId="8" borderId="0" xfId="0" applyFont="1" applyFill="1" applyBorder="1"/>
    <xf numFmtId="9" fontId="13" fillId="8" borderId="0" xfId="0" applyNumberFormat="1" applyFont="1" applyFill="1" applyBorder="1"/>
    <xf numFmtId="0" fontId="13" fillId="8" borderId="0" xfId="0" applyFont="1" applyFill="1"/>
    <xf numFmtId="0" fontId="4" fillId="8" borderId="0" xfId="0" applyFont="1" applyFill="1" applyBorder="1" applyAlignment="1">
      <alignment horizontal="center"/>
    </xf>
    <xf numFmtId="0" fontId="5" fillId="8" borderId="0" xfId="0" applyFont="1" applyFill="1" applyAlignment="1">
      <alignment wrapText="1"/>
    </xf>
    <xf numFmtId="0" fontId="13" fillId="8" borderId="0" xfId="0" applyFont="1" applyFill="1" applyBorder="1"/>
    <xf numFmtId="165" fontId="4" fillId="8" borderId="24" xfId="0" applyNumberFormat="1" applyFont="1" applyFill="1" applyBorder="1"/>
    <xf numFmtId="164" fontId="4" fillId="8" borderId="26" xfId="0" applyNumberFormat="1" applyFont="1" applyFill="1" applyBorder="1"/>
    <xf numFmtId="0" fontId="5" fillId="0" borderId="0" xfId="0" applyFont="1" applyAlignment="1"/>
    <xf numFmtId="0" fontId="5" fillId="0" borderId="0" xfId="0" applyFont="1" applyBorder="1" applyAlignment="1">
      <alignment horizontal="right"/>
    </xf>
    <xf numFmtId="0" fontId="13" fillId="0" borderId="16" xfId="0" applyFont="1" applyFill="1" applyBorder="1"/>
    <xf numFmtId="0" fontId="5" fillId="8" borderId="0" xfId="0" applyFont="1" applyFill="1" applyBorder="1" applyAlignment="1">
      <alignment horizontal="center" vertical="center" wrapText="1"/>
    </xf>
    <xf numFmtId="2" fontId="13" fillId="0" borderId="0" xfId="0" applyNumberFormat="1" applyFont="1" applyFill="1"/>
    <xf numFmtId="0" fontId="13" fillId="0" borderId="12" xfId="0" applyFont="1" applyFill="1" applyBorder="1"/>
    <xf numFmtId="0" fontId="16" fillId="0" borderId="12" xfId="0" applyFont="1" applyFill="1" applyBorder="1"/>
    <xf numFmtId="0" fontId="16" fillId="0" borderId="0" xfId="0" applyFont="1"/>
    <xf numFmtId="0" fontId="1" fillId="8" borderId="0" xfId="0" applyFont="1" applyFill="1"/>
    <xf numFmtId="0" fontId="12" fillId="8" borderId="0" xfId="0" applyFont="1" applyFill="1" applyBorder="1"/>
    <xf numFmtId="0" fontId="25" fillId="0" borderId="12" xfId="0" applyFont="1" applyFill="1" applyBorder="1"/>
    <xf numFmtId="0" fontId="28" fillId="0" borderId="0" xfId="0" applyFont="1"/>
    <xf numFmtId="0" fontId="28" fillId="0" borderId="12" xfId="0" applyFont="1" applyBorder="1"/>
    <xf numFmtId="0" fontId="28" fillId="0" borderId="0" xfId="0" applyFont="1" applyBorder="1"/>
    <xf numFmtId="0" fontId="17" fillId="0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/>
    </xf>
    <xf numFmtId="0" fontId="25" fillId="0" borderId="0" xfId="0" applyFont="1"/>
    <xf numFmtId="0" fontId="28" fillId="0" borderId="15" xfId="0" applyFont="1" applyFill="1" applyBorder="1"/>
    <xf numFmtId="0" fontId="19" fillId="0" borderId="15" xfId="0" applyFont="1" applyBorder="1"/>
    <xf numFmtId="0" fontId="19" fillId="0" borderId="48" xfId="0" applyFont="1" applyFill="1" applyBorder="1"/>
    <xf numFmtId="0" fontId="19" fillId="0" borderId="48" xfId="0" applyFont="1" applyBorder="1"/>
    <xf numFmtId="0" fontId="13" fillId="0" borderId="49" xfId="0" applyFont="1" applyFill="1" applyBorder="1"/>
    <xf numFmtId="0" fontId="21" fillId="8" borderId="48" xfId="0" applyFont="1" applyFill="1" applyBorder="1"/>
    <xf numFmtId="0" fontId="21" fillId="0" borderId="48" xfId="0" applyFont="1" applyBorder="1" applyAlignment="1">
      <alignment vertical="center"/>
    </xf>
    <xf numFmtId="0" fontId="10" fillId="0" borderId="43" xfId="0" applyFont="1" applyFill="1" applyBorder="1" applyAlignment="1">
      <alignment horizontal="center" vertical="center" wrapText="1"/>
    </xf>
    <xf numFmtId="165" fontId="10" fillId="0" borderId="24" xfId="0" applyNumberFormat="1" applyFont="1" applyBorder="1"/>
    <xf numFmtId="164" fontId="10" fillId="0" borderId="26" xfId="0" applyNumberFormat="1" applyFont="1" applyBorder="1"/>
    <xf numFmtId="0" fontId="30" fillId="0" borderId="0" xfId="0" applyFont="1"/>
    <xf numFmtId="0" fontId="2" fillId="8" borderId="0" xfId="0" applyFont="1" applyFill="1" applyAlignment="1">
      <alignment wrapText="1"/>
    </xf>
    <xf numFmtId="0" fontId="3" fillId="8" borderId="0" xfId="0" applyFont="1" applyFill="1" applyBorder="1" applyAlignment="1">
      <alignment horizontal="center" vertical="center" wrapText="1"/>
    </xf>
    <xf numFmtId="0" fontId="17" fillId="17" borderId="12" xfId="0" applyFont="1" applyFill="1" applyBorder="1" applyAlignment="1">
      <alignment horizontal="center" vertical="center"/>
    </xf>
    <xf numFmtId="0" fontId="17" fillId="18" borderId="12" xfId="0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center" vertical="center" shrinkToFit="1"/>
    </xf>
    <xf numFmtId="0" fontId="5" fillId="3" borderId="12" xfId="0" applyFont="1" applyFill="1" applyBorder="1" applyAlignment="1">
      <alignment horizontal="center" vertical="center"/>
    </xf>
    <xf numFmtId="0" fontId="17" fillId="18" borderId="12" xfId="0" applyFont="1" applyFill="1" applyBorder="1" applyAlignment="1">
      <alignment horizontal="center" vertical="center" shrinkToFit="1"/>
    </xf>
    <xf numFmtId="0" fontId="5" fillId="18" borderId="12" xfId="0" applyFont="1" applyFill="1" applyBorder="1" applyAlignment="1">
      <alignment horizontal="center" vertical="center"/>
    </xf>
    <xf numFmtId="9" fontId="0" fillId="8" borderId="0" xfId="0" applyNumberFormat="1" applyFill="1" applyBorder="1"/>
    <xf numFmtId="0" fontId="35" fillId="8" borderId="0" xfId="0" applyFont="1" applyFill="1" applyBorder="1" applyAlignment="1">
      <alignment horizontal="center" vertical="center" wrapText="1"/>
    </xf>
    <xf numFmtId="0" fontId="31" fillId="8" borderId="0" xfId="0" applyFont="1" applyFill="1" applyBorder="1"/>
    <xf numFmtId="9" fontId="31" fillId="8" borderId="0" xfId="0" applyNumberFormat="1" applyFont="1" applyFill="1" applyBorder="1"/>
    <xf numFmtId="0" fontId="37" fillId="8" borderId="0" xfId="0" applyFont="1" applyFill="1" applyBorder="1"/>
    <xf numFmtId="0" fontId="5" fillId="20" borderId="12" xfId="0" applyFont="1" applyFill="1" applyBorder="1" applyProtection="1">
      <protection locked="0"/>
    </xf>
    <xf numFmtId="0" fontId="0" fillId="20" borderId="12" xfId="0" applyFill="1" applyBorder="1" applyProtection="1">
      <protection locked="0"/>
    </xf>
    <xf numFmtId="0" fontId="5" fillId="20" borderId="15" xfId="0" applyFont="1" applyFill="1" applyBorder="1" applyProtection="1">
      <protection locked="0"/>
    </xf>
    <xf numFmtId="9" fontId="40" fillId="8" borderId="0" xfId="0" applyNumberFormat="1" applyFont="1" applyFill="1" applyBorder="1"/>
    <xf numFmtId="0" fontId="40" fillId="8" borderId="0" xfId="0" applyFont="1" applyFill="1" applyBorder="1"/>
    <xf numFmtId="0" fontId="18" fillId="16" borderId="12" xfId="0" applyFont="1" applyFill="1" applyBorder="1" applyAlignment="1">
      <alignment horizontal="center" vertical="center"/>
    </xf>
    <xf numFmtId="0" fontId="4" fillId="16" borderId="12" xfId="0" applyFont="1" applyFill="1" applyBorder="1"/>
    <xf numFmtId="0" fontId="17" fillId="5" borderId="19" xfId="0" applyFont="1" applyFill="1" applyBorder="1" applyAlignment="1">
      <alignment horizontal="center" vertical="center"/>
    </xf>
    <xf numFmtId="0" fontId="17" fillId="5" borderId="25" xfId="0" applyFont="1" applyFill="1" applyBorder="1" applyAlignment="1">
      <alignment horizontal="center" vertical="center"/>
    </xf>
    <xf numFmtId="0" fontId="5" fillId="8" borderId="0" xfId="0" applyFont="1" applyFill="1"/>
    <xf numFmtId="0" fontId="17" fillId="5" borderId="32" xfId="0" applyFont="1" applyFill="1" applyBorder="1" applyAlignment="1">
      <alignment horizontal="center" vertical="center"/>
    </xf>
    <xf numFmtId="0" fontId="17" fillId="5" borderId="38" xfId="0" applyFont="1" applyFill="1" applyBorder="1" applyAlignment="1">
      <alignment horizontal="center" vertical="center"/>
    </xf>
    <xf numFmtId="0" fontId="17" fillId="5" borderId="39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 wrapText="1"/>
    </xf>
    <xf numFmtId="0" fontId="18" fillId="19" borderId="16" xfId="0" applyFont="1" applyFill="1" applyBorder="1" applyAlignment="1">
      <alignment horizontal="center" vertical="center" wrapText="1"/>
    </xf>
    <xf numFmtId="0" fontId="4" fillId="19" borderId="16" xfId="0" applyFont="1" applyFill="1" applyBorder="1" applyAlignment="1">
      <alignment horizontal="center" vertical="center" wrapText="1"/>
    </xf>
    <xf numFmtId="0" fontId="17" fillId="8" borderId="0" xfId="0" applyFont="1" applyFill="1" applyBorder="1" applyAlignment="1">
      <alignment horizontal="center" vertical="center"/>
    </xf>
    <xf numFmtId="0" fontId="17" fillId="5" borderId="17" xfId="0" applyFont="1" applyFill="1" applyBorder="1" applyAlignment="1">
      <alignment horizontal="center" vertical="center"/>
    </xf>
    <xf numFmtId="0" fontId="17" fillId="5" borderId="24" xfId="0" applyFont="1" applyFill="1" applyBorder="1" applyAlignment="1">
      <alignment horizontal="center" vertical="center"/>
    </xf>
    <xf numFmtId="0" fontId="4" fillId="5" borderId="24" xfId="0" applyFont="1" applyFill="1" applyBorder="1" applyAlignment="1">
      <alignment horizontal="center" vertical="center"/>
    </xf>
    <xf numFmtId="0" fontId="13" fillId="0" borderId="52" xfId="0" applyFont="1" applyFill="1" applyBorder="1"/>
    <xf numFmtId="0" fontId="17" fillId="8" borderId="0" xfId="0" applyFont="1" applyFill="1" applyBorder="1" applyAlignment="1">
      <alignment horizontal="center" vertical="center" shrinkToFit="1"/>
    </xf>
    <xf numFmtId="0" fontId="5" fillId="8" borderId="0" xfId="0" applyFont="1" applyFill="1" applyBorder="1" applyAlignment="1">
      <alignment horizontal="center" vertical="center"/>
    </xf>
    <xf numFmtId="165" fontId="4" fillId="8" borderId="0" xfId="0" applyNumberFormat="1" applyFont="1" applyFill="1" applyBorder="1"/>
    <xf numFmtId="164" fontId="4" fillId="8" borderId="0" xfId="0" applyNumberFormat="1" applyFont="1" applyFill="1" applyBorder="1"/>
    <xf numFmtId="165" fontId="4" fillId="8" borderId="9" xfId="0" applyNumberFormat="1" applyFont="1" applyFill="1" applyBorder="1"/>
    <xf numFmtId="0" fontId="41" fillId="3" borderId="12" xfId="0" applyFont="1" applyFill="1" applyBorder="1" applyAlignment="1">
      <alignment horizontal="center" vertical="center"/>
    </xf>
    <xf numFmtId="0" fontId="41" fillId="3" borderId="12" xfId="0" applyFont="1" applyFill="1" applyBorder="1" applyAlignment="1">
      <alignment horizontal="center" vertical="center" shrinkToFit="1"/>
    </xf>
    <xf numFmtId="0" fontId="41" fillId="18" borderId="12" xfId="0" applyFont="1" applyFill="1" applyBorder="1" applyAlignment="1">
      <alignment horizontal="center" vertical="center" shrinkToFit="1"/>
    </xf>
    <xf numFmtId="0" fontId="41" fillId="18" borderId="12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6" fillId="0" borderId="53" xfId="0" applyFont="1" applyFill="1" applyBorder="1"/>
    <xf numFmtId="164" fontId="13" fillId="8" borderId="0" xfId="0" applyNumberFormat="1" applyFont="1" applyFill="1"/>
    <xf numFmtId="0" fontId="24" fillId="8" borderId="0" xfId="0" applyFont="1" applyFill="1"/>
    <xf numFmtId="164" fontId="0" fillId="8" borderId="0" xfId="0" applyNumberFormat="1" applyFill="1"/>
    <xf numFmtId="0" fontId="4" fillId="8" borderId="0" xfId="0" applyFont="1" applyFill="1" applyBorder="1" applyAlignment="1">
      <alignment horizontal="center" vertical="center"/>
    </xf>
    <xf numFmtId="9" fontId="42" fillId="8" borderId="0" xfId="0" applyNumberFormat="1" applyFont="1" applyFill="1" applyBorder="1"/>
    <xf numFmtId="0" fontId="16" fillId="0" borderId="35" xfId="0" applyFont="1" applyFill="1" applyBorder="1"/>
    <xf numFmtId="0" fontId="16" fillId="0" borderId="42" xfId="0" applyFont="1" applyFill="1" applyBorder="1"/>
    <xf numFmtId="0" fontId="16" fillId="0" borderId="56" xfId="0" applyFont="1" applyFill="1" applyBorder="1"/>
    <xf numFmtId="0" fontId="16" fillId="0" borderId="15" xfId="0" applyFont="1" applyFill="1" applyBorder="1"/>
    <xf numFmtId="0" fontId="25" fillId="0" borderId="15" xfId="0" applyFont="1" applyFill="1" applyBorder="1"/>
    <xf numFmtId="0" fontId="25" fillId="0" borderId="43" xfId="0" applyFont="1" applyFill="1" applyBorder="1"/>
    <xf numFmtId="0" fontId="4" fillId="3" borderId="46" xfId="0" applyFont="1" applyFill="1" applyBorder="1" applyAlignment="1">
      <alignment horizontal="center" vertical="center"/>
    </xf>
    <xf numFmtId="0" fontId="18" fillId="17" borderId="12" xfId="0" applyFont="1" applyFill="1" applyBorder="1" applyAlignment="1">
      <alignment horizontal="center" vertical="center"/>
    </xf>
    <xf numFmtId="0" fontId="4" fillId="17" borderId="12" xfId="0" applyFont="1" applyFill="1" applyBorder="1"/>
    <xf numFmtId="0" fontId="18" fillId="19" borderId="12" xfId="0" applyFont="1" applyFill="1" applyBorder="1" applyAlignment="1">
      <alignment horizontal="center" vertical="center"/>
    </xf>
    <xf numFmtId="0" fontId="4" fillId="19" borderId="12" xfId="0" applyFont="1" applyFill="1" applyBorder="1"/>
    <xf numFmtId="0" fontId="43" fillId="8" borderId="0" xfId="0" applyFont="1" applyFill="1" applyBorder="1"/>
    <xf numFmtId="0" fontId="37" fillId="8" borderId="0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 wrapText="1"/>
    </xf>
    <xf numFmtId="0" fontId="5" fillId="8" borderId="18" xfId="0" applyFont="1" applyFill="1" applyBorder="1" applyAlignment="1"/>
    <xf numFmtId="0" fontId="5" fillId="8" borderId="0" xfId="0" applyFont="1" applyFill="1" applyBorder="1" applyAlignment="1">
      <alignment horizontal="right"/>
    </xf>
    <xf numFmtId="0" fontId="38" fillId="8" borderId="0" xfId="0" applyFont="1" applyFill="1" applyBorder="1" applyAlignment="1">
      <alignment wrapText="1"/>
    </xf>
    <xf numFmtId="0" fontId="44" fillId="8" borderId="0" xfId="0" applyFont="1" applyFill="1" applyBorder="1" applyAlignment="1">
      <alignment horizontal="center" vertical="center" wrapText="1"/>
    </xf>
    <xf numFmtId="0" fontId="13" fillId="0" borderId="35" xfId="0" applyFont="1" applyFill="1" applyBorder="1"/>
    <xf numFmtId="0" fontId="10" fillId="0" borderId="37" xfId="0" applyFont="1" applyFill="1" applyBorder="1"/>
    <xf numFmtId="0" fontId="10" fillId="0" borderId="37" xfId="0" applyFont="1" applyBorder="1"/>
    <xf numFmtId="0" fontId="10" fillId="0" borderId="42" xfId="0" applyFont="1" applyBorder="1"/>
    <xf numFmtId="0" fontId="9" fillId="5" borderId="54" xfId="0" applyFont="1" applyFill="1" applyBorder="1" applyAlignment="1">
      <alignment horizontal="center" vertical="center"/>
    </xf>
    <xf numFmtId="0" fontId="9" fillId="5" borderId="25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 shrinkToFit="1"/>
    </xf>
    <xf numFmtId="0" fontId="5" fillId="3" borderId="27" xfId="0" applyFont="1" applyFill="1" applyBorder="1" applyAlignment="1">
      <alignment horizontal="center" vertical="center"/>
    </xf>
    <xf numFmtId="0" fontId="17" fillId="18" borderId="24" xfId="0" applyFont="1" applyFill="1" applyBorder="1" applyAlignment="1">
      <alignment horizontal="center" vertical="center" shrinkToFit="1"/>
    </xf>
    <xf numFmtId="0" fontId="9" fillId="18" borderId="19" xfId="0" applyFont="1" applyFill="1" applyBorder="1" applyAlignment="1">
      <alignment horizontal="center" vertical="center" shrinkToFit="1"/>
    </xf>
    <xf numFmtId="0" fontId="9" fillId="18" borderId="25" xfId="0" applyFont="1" applyFill="1" applyBorder="1" applyAlignment="1">
      <alignment horizontal="center" vertical="center"/>
    </xf>
    <xf numFmtId="0" fontId="5" fillId="18" borderId="25" xfId="0" applyFont="1" applyFill="1" applyBorder="1" applyAlignment="1">
      <alignment horizontal="center" vertical="center"/>
    </xf>
    <xf numFmtId="0" fontId="11" fillId="19" borderId="27" xfId="0" applyFont="1" applyFill="1" applyBorder="1" applyAlignment="1">
      <alignment horizontal="center" vertical="center"/>
    </xf>
    <xf numFmtId="0" fontId="10" fillId="19" borderId="37" xfId="0" applyFont="1" applyFill="1" applyBorder="1"/>
    <xf numFmtId="0" fontId="13" fillId="0" borderId="58" xfId="0" applyFont="1" applyFill="1" applyBorder="1"/>
    <xf numFmtId="0" fontId="4" fillId="0" borderId="37" xfId="0" applyFont="1" applyFill="1" applyBorder="1"/>
    <xf numFmtId="0" fontId="28" fillId="8" borderId="0" xfId="0" applyFont="1" applyFill="1"/>
    <xf numFmtId="0" fontId="19" fillId="8" borderId="0" xfId="0" applyFont="1" applyFill="1" applyBorder="1"/>
    <xf numFmtId="0" fontId="6" fillId="8" borderId="0" xfId="0" applyFont="1" applyFill="1" applyBorder="1" applyAlignment="1">
      <alignment horizontal="center" vertical="center" wrapText="1"/>
    </xf>
    <xf numFmtId="9" fontId="28" fillId="0" borderId="0" xfId="0" applyNumberFormat="1" applyFont="1" applyBorder="1"/>
    <xf numFmtId="9" fontId="28" fillId="8" borderId="0" xfId="0" applyNumberFormat="1" applyFont="1" applyFill="1" applyBorder="1"/>
    <xf numFmtId="0" fontId="28" fillId="8" borderId="0" xfId="0" applyFont="1" applyFill="1" applyBorder="1"/>
    <xf numFmtId="9" fontId="45" fillId="8" borderId="0" xfId="0" applyNumberFormat="1" applyFont="1" applyFill="1" applyBorder="1"/>
    <xf numFmtId="0" fontId="45" fillId="8" borderId="0" xfId="0" applyFont="1" applyFill="1" applyBorder="1"/>
    <xf numFmtId="0" fontId="13" fillId="0" borderId="42" xfId="0" applyFont="1" applyFill="1" applyBorder="1"/>
    <xf numFmtId="0" fontId="13" fillId="0" borderId="56" xfId="0" applyFont="1" applyFill="1" applyBorder="1"/>
    <xf numFmtId="0" fontId="6" fillId="8" borderId="0" xfId="0" applyFont="1" applyFill="1" applyAlignment="1">
      <alignment wrapText="1"/>
    </xf>
    <xf numFmtId="0" fontId="11" fillId="17" borderId="46" xfId="0" applyFont="1" applyFill="1" applyBorder="1" applyAlignment="1">
      <alignment horizontal="center" vertical="center"/>
    </xf>
    <xf numFmtId="0" fontId="10" fillId="17" borderId="48" xfId="0" applyFont="1" applyFill="1" applyBorder="1" applyAlignment="1">
      <alignment horizontal="center" vertical="center"/>
    </xf>
    <xf numFmtId="0" fontId="4" fillId="17" borderId="46" xfId="0" applyFont="1" applyFill="1" applyBorder="1" applyAlignment="1">
      <alignment horizontal="center" vertical="center"/>
    </xf>
    <xf numFmtId="0" fontId="21" fillId="17" borderId="48" xfId="0" applyFont="1" applyFill="1" applyBorder="1" applyAlignment="1">
      <alignment vertical="center"/>
    </xf>
    <xf numFmtId="0" fontId="17" fillId="5" borderId="54" xfId="0" applyFont="1" applyFill="1" applyBorder="1" applyAlignment="1">
      <alignment horizontal="center" vertical="center"/>
    </xf>
    <xf numFmtId="0" fontId="21" fillId="5" borderId="46" xfId="0" applyFont="1" applyFill="1" applyBorder="1" applyAlignment="1">
      <alignment horizontal="center" vertical="center"/>
    </xf>
    <xf numFmtId="0" fontId="29" fillId="3" borderId="12" xfId="0" applyFont="1" applyFill="1" applyBorder="1" applyAlignment="1">
      <alignment horizontal="center" vertical="center"/>
    </xf>
    <xf numFmtId="0" fontId="29" fillId="3" borderId="15" xfId="0" applyFont="1" applyFill="1" applyBorder="1" applyAlignment="1">
      <alignment horizontal="center" vertical="center" shrinkToFit="1"/>
    </xf>
    <xf numFmtId="0" fontId="4" fillId="18" borderId="15" xfId="0" applyFont="1" applyFill="1" applyBorder="1" applyAlignment="1">
      <alignment horizontal="center" vertical="center"/>
    </xf>
    <xf numFmtId="0" fontId="16" fillId="8" borderId="0" xfId="0" applyFont="1" applyFill="1"/>
    <xf numFmtId="0" fontId="5" fillId="0" borderId="13" xfId="0" applyFont="1" applyFill="1" applyBorder="1" applyAlignment="1">
      <alignment horizontal="center" vertical="center" wrapText="1"/>
    </xf>
    <xf numFmtId="0" fontId="41" fillId="5" borderId="17" xfId="0" applyFont="1" applyFill="1" applyBorder="1" applyAlignment="1">
      <alignment horizontal="center" vertical="center"/>
    </xf>
    <xf numFmtId="0" fontId="41" fillId="5" borderId="24" xfId="0" applyFont="1" applyFill="1" applyBorder="1" applyAlignment="1">
      <alignment horizontal="center" vertical="center"/>
    </xf>
    <xf numFmtId="0" fontId="5" fillId="5" borderId="24" xfId="0" applyFont="1" applyFill="1" applyBorder="1" applyAlignment="1">
      <alignment horizontal="center" vertical="center"/>
    </xf>
    <xf numFmtId="0" fontId="5" fillId="0" borderId="51" xfId="0" applyFont="1" applyFill="1" applyBorder="1"/>
    <xf numFmtId="0" fontId="5" fillId="8" borderId="0" xfId="0" applyFont="1" applyFill="1" applyBorder="1"/>
    <xf numFmtId="165" fontId="5" fillId="8" borderId="24" xfId="0" applyNumberFormat="1" applyFont="1" applyFill="1" applyBorder="1"/>
    <xf numFmtId="164" fontId="5" fillId="8" borderId="26" xfId="0" applyNumberFormat="1" applyFont="1" applyFill="1" applyBorder="1"/>
    <xf numFmtId="0" fontId="41" fillId="18" borderId="24" xfId="0" applyFont="1" applyFill="1" applyBorder="1" applyAlignment="1">
      <alignment horizontal="center" vertical="center" shrinkToFit="1"/>
    </xf>
    <xf numFmtId="0" fontId="5" fillId="17" borderId="12" xfId="0" applyFont="1" applyFill="1" applyBorder="1"/>
    <xf numFmtId="0" fontId="41" fillId="5" borderId="23" xfId="0" applyFont="1" applyFill="1" applyBorder="1" applyAlignment="1">
      <alignment horizontal="center" vertical="center"/>
    </xf>
    <xf numFmtId="0" fontId="22" fillId="5" borderId="9" xfId="0" applyFont="1" applyFill="1" applyBorder="1" applyAlignment="1">
      <alignment horizontal="center" vertical="center"/>
    </xf>
    <xf numFmtId="0" fontId="22" fillId="0" borderId="13" xfId="0" applyFont="1" applyFill="1" applyBorder="1"/>
    <xf numFmtId="0" fontId="5" fillId="8" borderId="10" xfId="0" applyFont="1" applyFill="1" applyBorder="1" applyAlignment="1">
      <alignment horizontal="left" vertical="center" wrapText="1"/>
    </xf>
    <xf numFmtId="164" fontId="5" fillId="8" borderId="0" xfId="0" applyNumberFormat="1" applyFont="1" applyFill="1" applyBorder="1" applyAlignment="1">
      <alignment horizontal="right"/>
    </xf>
    <xf numFmtId="0" fontId="41" fillId="3" borderId="15" xfId="0" applyFont="1" applyFill="1" applyBorder="1" applyAlignment="1">
      <alignment horizontal="center" vertical="center" shrinkToFit="1"/>
    </xf>
    <xf numFmtId="0" fontId="22" fillId="3" borderId="46" xfId="0" applyFont="1" applyFill="1" applyBorder="1" applyAlignment="1">
      <alignment horizontal="center" vertical="center"/>
    </xf>
    <xf numFmtId="0" fontId="22" fillId="0" borderId="48" xfId="0" applyFont="1" applyBorder="1"/>
    <xf numFmtId="0" fontId="0" fillId="8" borderId="0" xfId="0" applyFont="1" applyFill="1"/>
    <xf numFmtId="0" fontId="22" fillId="18" borderId="15" xfId="0" applyFont="1" applyFill="1" applyBorder="1" applyAlignment="1">
      <alignment horizontal="center" vertical="center"/>
    </xf>
    <xf numFmtId="0" fontId="41" fillId="19" borderId="46" xfId="0" applyFont="1" applyFill="1" applyBorder="1" applyAlignment="1">
      <alignment horizontal="center" vertical="center"/>
    </xf>
    <xf numFmtId="0" fontId="22" fillId="19" borderId="47" xfId="0" applyFont="1" applyFill="1" applyBorder="1" applyAlignment="1">
      <alignment horizontal="right" vertical="center"/>
    </xf>
    <xf numFmtId="0" fontId="46" fillId="0" borderId="4" xfId="0" applyFont="1" applyFill="1" applyBorder="1" applyAlignment="1">
      <alignment horizontal="center" vertical="center"/>
    </xf>
    <xf numFmtId="0" fontId="47" fillId="0" borderId="44" xfId="0" applyFont="1" applyFill="1" applyBorder="1" applyAlignment="1">
      <alignment horizontal="center" vertical="center" wrapText="1"/>
    </xf>
    <xf numFmtId="0" fontId="48" fillId="8" borderId="0" xfId="0" applyFont="1" applyFill="1" applyBorder="1" applyAlignment="1">
      <alignment horizontal="center" vertical="center" wrapText="1"/>
    </xf>
    <xf numFmtId="0" fontId="41" fillId="5" borderId="19" xfId="0" applyFont="1" applyFill="1" applyBorder="1" applyAlignment="1">
      <alignment horizontal="center" vertical="center"/>
    </xf>
    <xf numFmtId="0" fontId="42" fillId="8" borderId="0" xfId="0" applyFont="1" applyFill="1" applyBorder="1"/>
    <xf numFmtId="0" fontId="41" fillId="5" borderId="25" xfId="0" applyFont="1" applyFill="1" applyBorder="1" applyAlignment="1">
      <alignment horizontal="center" vertical="center"/>
    </xf>
    <xf numFmtId="0" fontId="41" fillId="5" borderId="55" xfId="0" applyFont="1" applyFill="1" applyBorder="1" applyAlignment="1">
      <alignment horizontal="center" vertical="center"/>
    </xf>
    <xf numFmtId="0" fontId="22" fillId="5" borderId="46" xfId="0" applyFont="1" applyFill="1" applyBorder="1" applyAlignment="1">
      <alignment horizontal="center" vertical="center"/>
    </xf>
    <xf numFmtId="0" fontId="22" fillId="0" borderId="48" xfId="0" applyFont="1" applyFill="1" applyBorder="1"/>
    <xf numFmtId="0" fontId="22" fillId="8" borderId="0" xfId="0" applyFont="1" applyFill="1" applyBorder="1"/>
    <xf numFmtId="0" fontId="2" fillId="8" borderId="0" xfId="0" applyFont="1" applyFill="1" applyBorder="1"/>
    <xf numFmtId="9" fontId="0" fillId="8" borderId="0" xfId="0" applyNumberFormat="1" applyFont="1" applyFill="1" applyBorder="1"/>
    <xf numFmtId="0" fontId="2" fillId="8" borderId="0" xfId="0" applyFont="1" applyFill="1" applyBorder="1" applyAlignment="1">
      <alignment horizontal="center"/>
    </xf>
    <xf numFmtId="0" fontId="22" fillId="8" borderId="0" xfId="0" applyFont="1" applyFill="1" applyBorder="1" applyAlignment="1">
      <alignment wrapText="1"/>
    </xf>
    <xf numFmtId="0" fontId="16" fillId="8" borderId="0" xfId="0" applyFont="1" applyFill="1" applyBorder="1"/>
    <xf numFmtId="165" fontId="47" fillId="8" borderId="36" xfId="0" applyNumberFormat="1" applyFont="1" applyFill="1" applyBorder="1"/>
    <xf numFmtId="0" fontId="22" fillId="3" borderId="57" xfId="0" applyFont="1" applyFill="1" applyBorder="1" applyAlignment="1">
      <alignment horizontal="center" vertical="center"/>
    </xf>
    <xf numFmtId="0" fontId="22" fillId="0" borderId="47" xfId="0" applyFont="1" applyBorder="1"/>
    <xf numFmtId="0" fontId="22" fillId="19" borderId="48" xfId="0" applyFont="1" applyFill="1" applyBorder="1" applyAlignment="1">
      <alignment horizontal="right" vertical="center"/>
    </xf>
    <xf numFmtId="165" fontId="5" fillId="8" borderId="36" xfId="0" applyNumberFormat="1" applyFont="1" applyFill="1" applyBorder="1"/>
    <xf numFmtId="0" fontId="0" fillId="8" borderId="0" xfId="0" applyFont="1" applyFill="1" applyBorder="1"/>
    <xf numFmtId="0" fontId="41" fillId="18" borderId="23" xfId="0" applyFont="1" applyFill="1" applyBorder="1" applyAlignment="1">
      <alignment horizontal="center" vertical="center" shrinkToFit="1"/>
    </xf>
    <xf numFmtId="0" fontId="22" fillId="18" borderId="9" xfId="0" applyFont="1" applyFill="1" applyBorder="1" applyAlignment="1">
      <alignment horizontal="center" vertical="center"/>
    </xf>
    <xf numFmtId="0" fontId="50" fillId="0" borderId="14" xfId="0" applyFont="1" applyFill="1" applyBorder="1"/>
    <xf numFmtId="165" fontId="5" fillId="8" borderId="0" xfId="0" applyNumberFormat="1" applyFont="1" applyFill="1" applyBorder="1"/>
    <xf numFmtId="164" fontId="5" fillId="8" borderId="0" xfId="0" applyNumberFormat="1" applyFont="1" applyFill="1" applyBorder="1"/>
    <xf numFmtId="9" fontId="13" fillId="8" borderId="18" xfId="0" applyNumberFormat="1" applyFont="1" applyFill="1" applyBorder="1"/>
    <xf numFmtId="0" fontId="41" fillId="3" borderId="15" xfId="0" applyFont="1" applyFill="1" applyBorder="1" applyAlignment="1">
      <alignment horizontal="center" vertical="center"/>
    </xf>
    <xf numFmtId="0" fontId="50" fillId="0" borderId="48" xfId="0" applyFont="1" applyBorder="1"/>
    <xf numFmtId="0" fontId="5" fillId="8" borderId="2" xfId="0" applyFont="1" applyFill="1" applyBorder="1" applyAlignment="1">
      <alignment horizontal="left" vertical="center" wrapText="1"/>
    </xf>
    <xf numFmtId="0" fontId="17" fillId="19" borderId="46" xfId="0" applyFont="1" applyFill="1" applyBorder="1" applyAlignment="1">
      <alignment horizontal="center" vertical="center"/>
    </xf>
    <xf numFmtId="0" fontId="5" fillId="19" borderId="48" xfId="0" applyFont="1" applyFill="1" applyBorder="1" applyAlignment="1">
      <alignment horizontal="right" vertical="center"/>
    </xf>
    <xf numFmtId="0" fontId="0" fillId="21" borderId="0" xfId="0" applyFill="1"/>
    <xf numFmtId="0" fontId="2" fillId="21" borderId="0" xfId="0" applyFont="1" applyFill="1" applyBorder="1" applyAlignment="1">
      <alignment horizontal="right"/>
    </xf>
    <xf numFmtId="164" fontId="0" fillId="21" borderId="0" xfId="0" applyNumberFormat="1" applyFill="1"/>
    <xf numFmtId="0" fontId="6" fillId="21" borderId="0" xfId="0" applyFont="1" applyFill="1" applyAlignment="1">
      <alignment wrapText="1"/>
    </xf>
    <xf numFmtId="2" fontId="0" fillId="21" borderId="0" xfId="0" applyNumberFormat="1" applyFill="1"/>
    <xf numFmtId="164" fontId="4" fillId="21" borderId="0" xfId="0" applyNumberFormat="1" applyFont="1" applyFill="1" applyBorder="1" applyAlignment="1">
      <alignment horizontal="center" vertical="center" wrapText="1"/>
    </xf>
    <xf numFmtId="0" fontId="4" fillId="8" borderId="0" xfId="0" applyFont="1" applyFill="1" applyBorder="1" applyAlignment="1">
      <alignment horizontal="center" vertical="center" wrapText="1"/>
    </xf>
    <xf numFmtId="0" fontId="4" fillId="8" borderId="0" xfId="0" applyFont="1" applyFill="1" applyBorder="1" applyAlignment="1">
      <alignment horizontal="center" vertical="center"/>
    </xf>
    <xf numFmtId="0" fontId="13" fillId="8" borderId="0" xfId="0" applyFont="1" applyFill="1" applyBorder="1" applyAlignment="1">
      <alignment horizontal="right"/>
    </xf>
    <xf numFmtId="164" fontId="4" fillId="8" borderId="0" xfId="0" applyNumberFormat="1" applyFont="1" applyFill="1" applyBorder="1" applyAlignment="1">
      <alignment horizontal="right"/>
    </xf>
    <xf numFmtId="164" fontId="4" fillId="8" borderId="0" xfId="0" applyNumberFormat="1" applyFont="1" applyFill="1" applyBorder="1" applyAlignment="1">
      <alignment horizontal="center" vertical="center" wrapText="1"/>
    </xf>
    <xf numFmtId="164" fontId="5" fillId="8" borderId="0" xfId="0" applyNumberFormat="1" applyFont="1" applyFill="1" applyBorder="1" applyAlignment="1">
      <alignment horizontal="right"/>
    </xf>
    <xf numFmtId="164" fontId="5" fillId="8" borderId="0" xfId="0" applyNumberFormat="1" applyFont="1" applyFill="1" applyBorder="1" applyAlignment="1">
      <alignment horizontal="center" vertical="center" wrapText="1"/>
    </xf>
    <xf numFmtId="164" fontId="10" fillId="8" borderId="0" xfId="0" applyNumberFormat="1" applyFont="1" applyFill="1" applyBorder="1" applyAlignment="1">
      <alignment horizontal="right"/>
    </xf>
    <xf numFmtId="0" fontId="28" fillId="8" borderId="0" xfId="0" applyFont="1" applyFill="1" applyBorder="1" applyAlignment="1">
      <alignment horizontal="right"/>
    </xf>
    <xf numFmtId="9" fontId="43" fillId="8" borderId="0" xfId="0" applyNumberFormat="1" applyFont="1" applyFill="1" applyBorder="1"/>
    <xf numFmtId="0" fontId="43" fillId="8" borderId="0" xfId="0" applyFont="1" applyFill="1"/>
    <xf numFmtId="0" fontId="36" fillId="8" borderId="0" xfId="0" applyFont="1" applyFill="1" applyBorder="1" applyAlignment="1">
      <alignment horizontal="center" vertical="center" wrapText="1"/>
    </xf>
    <xf numFmtId="0" fontId="39" fillId="8" borderId="0" xfId="0" applyFont="1" applyFill="1" applyBorder="1" applyAlignment="1">
      <alignment horizontal="center" vertical="center" wrapText="1"/>
    </xf>
    <xf numFmtId="0" fontId="22" fillId="8" borderId="0" xfId="0" applyFont="1" applyFill="1" applyBorder="1" applyAlignment="1"/>
    <xf numFmtId="0" fontId="2" fillId="8" borderId="0" xfId="0" applyFont="1" applyFill="1" applyBorder="1" applyAlignment="1">
      <alignment wrapText="1"/>
    </xf>
    <xf numFmtId="0" fontId="22" fillId="8" borderId="0" xfId="0" applyFont="1" applyFill="1" applyBorder="1" applyAlignment="1">
      <alignment horizontal="right"/>
    </xf>
    <xf numFmtId="0" fontId="2" fillId="8" borderId="0" xfId="0" applyFont="1" applyFill="1" applyAlignment="1"/>
    <xf numFmtId="164" fontId="4" fillId="8" borderId="18" xfId="0" applyNumberFormat="1" applyFont="1" applyFill="1" applyBorder="1" applyAlignment="1">
      <alignment horizontal="right"/>
    </xf>
    <xf numFmtId="9" fontId="22" fillId="8" borderId="0" xfId="0" applyNumberFormat="1" applyFont="1" applyFill="1" applyBorder="1" applyAlignment="1">
      <alignment horizontal="right"/>
    </xf>
    <xf numFmtId="0" fontId="23" fillId="8" borderId="0" xfId="0" applyFont="1" applyFill="1" applyBorder="1" applyAlignment="1"/>
    <xf numFmtId="0" fontId="24" fillId="8" borderId="0" xfId="0" applyFont="1" applyFill="1" applyBorder="1"/>
    <xf numFmtId="0" fontId="23" fillId="8" borderId="0" xfId="0" applyFont="1" applyFill="1" applyBorder="1" applyAlignment="1">
      <alignment horizontal="right"/>
    </xf>
    <xf numFmtId="2" fontId="0" fillId="8" borderId="0" xfId="0" applyNumberFormat="1" applyFill="1"/>
    <xf numFmtId="0" fontId="5" fillId="8" borderId="0" xfId="0" applyFont="1" applyFill="1" applyBorder="1" applyAlignment="1"/>
    <xf numFmtId="0" fontId="5" fillId="8" borderId="0" xfId="0" applyFont="1" applyFill="1" applyBorder="1" applyAlignment="1">
      <alignment wrapText="1"/>
    </xf>
    <xf numFmtId="0" fontId="5" fillId="8" borderId="0" xfId="0" applyFont="1" applyFill="1" applyAlignment="1"/>
    <xf numFmtId="2" fontId="13" fillId="8" borderId="0" xfId="0" applyNumberFormat="1" applyFont="1" applyFill="1"/>
    <xf numFmtId="0" fontId="8" fillId="8" borderId="0" xfId="0" applyFont="1" applyFill="1" applyBorder="1" applyAlignment="1">
      <alignment horizontal="center" vertical="center" wrapText="1"/>
    </xf>
    <xf numFmtId="0" fontId="0" fillId="8" borderId="18" xfId="0" applyFill="1" applyBorder="1" applyAlignment="1">
      <alignment horizontal="right"/>
    </xf>
    <xf numFmtId="0" fontId="0" fillId="8" borderId="0" xfId="0" applyFill="1" applyBorder="1" applyAlignment="1">
      <alignment horizontal="right"/>
    </xf>
    <xf numFmtId="0" fontId="2" fillId="8" borderId="0" xfId="0" applyFont="1" applyFill="1" applyBorder="1" applyAlignment="1"/>
    <xf numFmtId="164" fontId="10" fillId="8" borderId="0" xfId="0" applyNumberFormat="1" applyFont="1" applyFill="1" applyBorder="1"/>
    <xf numFmtId="0" fontId="2" fillId="8" borderId="0" xfId="0" applyFont="1" applyFill="1" applyBorder="1" applyAlignment="1">
      <alignment horizontal="right"/>
    </xf>
    <xf numFmtId="0" fontId="19" fillId="8" borderId="0" xfId="0" applyFont="1" applyFill="1" applyBorder="1" applyAlignment="1">
      <alignment horizontal="center" vertical="center"/>
    </xf>
    <xf numFmtId="164" fontId="28" fillId="8" borderId="0" xfId="0" applyNumberFormat="1" applyFont="1" applyFill="1"/>
    <xf numFmtId="0" fontId="19" fillId="8" borderId="0" xfId="0" applyFont="1" applyFill="1" applyBorder="1" applyAlignment="1">
      <alignment horizontal="center" vertical="center" wrapText="1"/>
    </xf>
    <xf numFmtId="0" fontId="6" fillId="8" borderId="0" xfId="0" applyFont="1" applyFill="1" applyBorder="1" applyAlignment="1"/>
    <xf numFmtId="0" fontId="6" fillId="8" borderId="0" xfId="0" applyFont="1" applyFill="1" applyBorder="1" applyAlignment="1">
      <alignment wrapText="1"/>
    </xf>
    <xf numFmtId="0" fontId="28" fillId="8" borderId="18" xfId="0" applyFont="1" applyFill="1" applyBorder="1" applyAlignment="1">
      <alignment horizontal="right"/>
    </xf>
    <xf numFmtId="0" fontId="19" fillId="8" borderId="0" xfId="0" applyFont="1" applyFill="1" applyBorder="1" applyAlignment="1">
      <alignment horizontal="center"/>
    </xf>
    <xf numFmtId="164" fontId="19" fillId="8" borderId="0" xfId="0" applyNumberFormat="1" applyFont="1" applyFill="1" applyBorder="1" applyAlignment="1">
      <alignment horizontal="right"/>
    </xf>
    <xf numFmtId="164" fontId="19" fillId="8" borderId="0" xfId="0" applyNumberFormat="1" applyFont="1" applyFill="1" applyBorder="1"/>
    <xf numFmtId="0" fontId="6" fillId="8" borderId="0" xfId="0" applyFont="1" applyFill="1" applyBorder="1" applyAlignment="1">
      <alignment horizontal="right"/>
    </xf>
    <xf numFmtId="2" fontId="28" fillId="8" borderId="0" xfId="0" applyNumberFormat="1" applyFont="1" applyFill="1"/>
    <xf numFmtId="0" fontId="6" fillId="8" borderId="0" xfId="0" applyFont="1" applyFill="1" applyAlignment="1"/>
    <xf numFmtId="9" fontId="6" fillId="8" borderId="0" xfId="0" applyNumberFormat="1" applyFont="1" applyFill="1" applyBorder="1" applyAlignment="1">
      <alignment horizontal="right"/>
    </xf>
    <xf numFmtId="0" fontId="13" fillId="21" borderId="0" xfId="0" applyFont="1" applyFill="1"/>
    <xf numFmtId="0" fontId="5" fillId="21" borderId="0" xfId="0" applyFont="1" applyFill="1" applyBorder="1" applyAlignment="1">
      <alignment horizontal="right"/>
    </xf>
    <xf numFmtId="164" fontId="13" fillId="21" borderId="0" xfId="0" applyNumberFormat="1" applyFont="1" applyFill="1"/>
    <xf numFmtId="0" fontId="43" fillId="21" borderId="0" xfId="0" applyFont="1" applyFill="1"/>
    <xf numFmtId="0" fontId="13" fillId="21" borderId="0" xfId="0" applyFont="1" applyFill="1" applyBorder="1"/>
    <xf numFmtId="0" fontId="5" fillId="21" borderId="0" xfId="0" applyFont="1" applyFill="1" applyBorder="1" applyAlignment="1"/>
    <xf numFmtId="0" fontId="5" fillId="21" borderId="0" xfId="0" applyFont="1" applyFill="1" applyBorder="1" applyAlignment="1">
      <alignment wrapText="1"/>
    </xf>
    <xf numFmtId="164" fontId="43" fillId="21" borderId="0" xfId="0" applyNumberFormat="1" applyFont="1" applyFill="1"/>
    <xf numFmtId="0" fontId="5" fillId="21" borderId="0" xfId="0" applyFont="1" applyFill="1" applyAlignment="1">
      <alignment wrapText="1"/>
    </xf>
    <xf numFmtId="0" fontId="16" fillId="21" borderId="0" xfId="0" applyFont="1" applyFill="1"/>
    <xf numFmtId="0" fontId="12" fillId="21" borderId="0" xfId="0" applyFont="1" applyFill="1"/>
    <xf numFmtId="164" fontId="10" fillId="21" borderId="0" xfId="0" applyNumberFormat="1" applyFont="1" applyFill="1" applyBorder="1"/>
    <xf numFmtId="0" fontId="2" fillId="21" borderId="0" xfId="0" applyFont="1" applyFill="1" applyBorder="1" applyAlignment="1"/>
    <xf numFmtId="0" fontId="2" fillId="21" borderId="0" xfId="0" applyFont="1" applyFill="1" applyAlignment="1">
      <alignment wrapText="1"/>
    </xf>
    <xf numFmtId="164" fontId="10" fillId="21" borderId="0" xfId="0" applyNumberFormat="1" applyFont="1" applyFill="1" applyBorder="1" applyAlignment="1">
      <alignment horizontal="right"/>
    </xf>
    <xf numFmtId="0" fontId="2" fillId="21" borderId="0" xfId="0" applyFont="1" applyFill="1" applyAlignment="1"/>
    <xf numFmtId="0" fontId="40" fillId="8" borderId="0" xfId="0" applyFont="1" applyFill="1"/>
    <xf numFmtId="0" fontId="39" fillId="8" borderId="0" xfId="0" applyFont="1" applyFill="1" applyBorder="1"/>
    <xf numFmtId="0" fontId="39" fillId="8" borderId="0" xfId="0" applyFont="1" applyFill="1" applyBorder="1" applyAlignment="1">
      <alignment horizontal="center"/>
    </xf>
    <xf numFmtId="0" fontId="53" fillId="20" borderId="44" xfId="0" applyFont="1" applyFill="1" applyBorder="1" applyAlignment="1" applyProtection="1">
      <alignment horizontal="center" vertical="center"/>
      <protection locked="0"/>
    </xf>
    <xf numFmtId="0" fontId="5" fillId="20" borderId="28" xfId="0" applyFont="1" applyFill="1" applyBorder="1" applyProtection="1">
      <protection locked="0"/>
    </xf>
    <xf numFmtId="0" fontId="37" fillId="8" borderId="0" xfId="0" applyFont="1" applyFill="1" applyBorder="1" applyAlignment="1">
      <alignment horizontal="center" vertical="center" wrapText="1"/>
    </xf>
    <xf numFmtId="0" fontId="36" fillId="8" borderId="0" xfId="0" applyFont="1" applyFill="1" applyBorder="1"/>
    <xf numFmtId="0" fontId="36" fillId="8" borderId="0" xfId="0" applyFont="1" applyFill="1" applyBorder="1" applyAlignment="1">
      <alignment horizontal="center"/>
    </xf>
    <xf numFmtId="0" fontId="28" fillId="21" borderId="0" xfId="0" applyFont="1" applyFill="1"/>
    <xf numFmtId="164" fontId="19" fillId="21" borderId="0" xfId="0" applyNumberFormat="1" applyFont="1" applyFill="1" applyBorder="1"/>
    <xf numFmtId="0" fontId="6" fillId="21" borderId="0" xfId="0" applyFont="1" applyFill="1" applyBorder="1" applyAlignment="1">
      <alignment horizontal="right"/>
    </xf>
    <xf numFmtId="164" fontId="28" fillId="21" borderId="0" xfId="0" applyNumberFormat="1" applyFont="1" applyFill="1"/>
    <xf numFmtId="164" fontId="19" fillId="21" borderId="0" xfId="0" applyNumberFormat="1" applyFont="1" applyFill="1" applyBorder="1" applyAlignment="1">
      <alignment horizontal="right"/>
    </xf>
    <xf numFmtId="164" fontId="19" fillId="21" borderId="0" xfId="0" applyNumberFormat="1" applyFont="1" applyFill="1" applyBorder="1" applyAlignment="1">
      <alignment horizontal="center" vertical="center" wrapText="1"/>
    </xf>
    <xf numFmtId="0" fontId="17" fillId="0" borderId="62" xfId="0" applyFont="1" applyFill="1" applyBorder="1" applyAlignment="1">
      <alignment horizontal="center" vertical="center" shrinkToFit="1"/>
    </xf>
    <xf numFmtId="0" fontId="17" fillId="3" borderId="19" xfId="0" applyFont="1" applyFill="1" applyBorder="1" applyAlignment="1">
      <alignment horizontal="center" vertical="center"/>
    </xf>
    <xf numFmtId="0" fontId="4" fillId="0" borderId="37" xfId="0" applyFont="1" applyBorder="1"/>
    <xf numFmtId="0" fontId="4" fillId="5" borderId="46" xfId="0" applyFont="1" applyFill="1" applyBorder="1" applyAlignment="1">
      <alignment horizontal="center" vertical="center"/>
    </xf>
    <xf numFmtId="0" fontId="4" fillId="0" borderId="48" xfId="0" applyFont="1" applyFill="1" applyBorder="1"/>
    <xf numFmtId="0" fontId="17" fillId="0" borderId="13" xfId="0" applyFont="1" applyFill="1" applyBorder="1" applyAlignment="1">
      <alignment horizontal="center" vertical="center"/>
    </xf>
    <xf numFmtId="0" fontId="5" fillId="8" borderId="0" xfId="0" applyFont="1" applyFill="1" applyBorder="1" applyAlignment="1">
      <alignment horizontal="center" vertical="center" wrapText="1"/>
    </xf>
    <xf numFmtId="0" fontId="43" fillId="0" borderId="50" xfId="0" applyFont="1" applyFill="1" applyBorder="1"/>
    <xf numFmtId="0" fontId="43" fillId="0" borderId="14" xfId="0" applyFont="1" applyFill="1" applyBorder="1"/>
    <xf numFmtId="0" fontId="43" fillId="0" borderId="0" xfId="0" applyFont="1"/>
    <xf numFmtId="0" fontId="43" fillId="0" borderId="0" xfId="0" applyFont="1" applyBorder="1"/>
    <xf numFmtId="0" fontId="43" fillId="0" borderId="35" xfId="0" applyFont="1" applyFill="1" applyBorder="1"/>
    <xf numFmtId="0" fontId="43" fillId="0" borderId="62" xfId="0" applyFont="1" applyFill="1" applyBorder="1"/>
    <xf numFmtId="0" fontId="43" fillId="0" borderId="16" xfId="0" applyFont="1" applyFill="1" applyBorder="1"/>
    <xf numFmtId="0" fontId="43" fillId="0" borderId="12" xfId="0" applyFont="1" applyFill="1" applyBorder="1"/>
    <xf numFmtId="0" fontId="36" fillId="8" borderId="0" xfId="0" applyFont="1" applyFill="1" applyBorder="1" applyAlignment="1">
      <alignment horizontal="center" vertical="center" wrapText="1"/>
    </xf>
    <xf numFmtId="0" fontId="57" fillId="8" borderId="0" xfId="0" applyFont="1" applyFill="1" applyBorder="1" applyAlignment="1">
      <alignment horizontal="center" vertical="center" wrapText="1"/>
    </xf>
    <xf numFmtId="0" fontId="58" fillId="8" borderId="0" xfId="0" applyFont="1" applyFill="1" applyBorder="1" applyAlignment="1" applyProtection="1">
      <alignment horizontal="center" vertical="center"/>
      <protection hidden="1"/>
    </xf>
    <xf numFmtId="0" fontId="35" fillId="8" borderId="0" xfId="0" applyFont="1" applyFill="1" applyBorder="1" applyAlignment="1" applyProtection="1">
      <alignment horizontal="center" vertical="center" wrapText="1"/>
      <protection hidden="1"/>
    </xf>
    <xf numFmtId="0" fontId="59" fillId="8" borderId="0" xfId="0" applyFont="1" applyFill="1" applyBorder="1" applyAlignment="1" applyProtection="1">
      <alignment horizontal="center" vertical="center"/>
      <protection hidden="1"/>
    </xf>
    <xf numFmtId="0" fontId="31" fillId="8" borderId="0" xfId="0" applyFont="1" applyFill="1" applyBorder="1" applyProtection="1">
      <protection hidden="1"/>
    </xf>
    <xf numFmtId="9" fontId="31" fillId="8" borderId="0" xfId="0" applyNumberFormat="1" applyFont="1" applyFill="1" applyBorder="1" applyProtection="1">
      <protection hidden="1"/>
    </xf>
    <xf numFmtId="0" fontId="36" fillId="8" borderId="0" xfId="0" applyFont="1" applyFill="1" applyBorder="1" applyAlignment="1" applyProtection="1">
      <alignment horizontal="center" vertical="center"/>
      <protection hidden="1"/>
    </xf>
    <xf numFmtId="0" fontId="37" fillId="8" borderId="0" xfId="0" applyFont="1" applyFill="1" applyBorder="1" applyProtection="1">
      <protection hidden="1"/>
    </xf>
    <xf numFmtId="0" fontId="31" fillId="8" borderId="0" xfId="0" applyFont="1" applyFill="1" applyProtection="1">
      <protection hidden="1"/>
    </xf>
    <xf numFmtId="0" fontId="37" fillId="8" borderId="0" xfId="0" applyFont="1" applyFill="1" applyBorder="1" applyAlignment="1" applyProtection="1">
      <alignment horizontal="center"/>
      <protection hidden="1"/>
    </xf>
    <xf numFmtId="0" fontId="0" fillId="0" borderId="0" xfId="0" applyProtection="1"/>
    <xf numFmtId="164" fontId="0" fillId="0" borderId="0" xfId="0" applyNumberFormat="1" applyProtection="1"/>
    <xf numFmtId="164" fontId="0" fillId="21" borderId="0" xfId="0" applyNumberFormat="1" applyFill="1" applyProtection="1"/>
    <xf numFmtId="0" fontId="0" fillId="21" borderId="0" xfId="0" applyFill="1" applyProtection="1"/>
    <xf numFmtId="0" fontId="2" fillId="0" borderId="15" xfId="0" applyFont="1" applyBorder="1" applyAlignment="1" applyProtection="1">
      <alignment horizontal="center" textRotation="90" wrapText="1"/>
    </xf>
    <xf numFmtId="0" fontId="15" fillId="0" borderId="15" xfId="0" applyFont="1" applyBorder="1" applyAlignment="1" applyProtection="1">
      <alignment horizontal="center" vertical="center" textRotation="90" wrapText="1"/>
    </xf>
    <xf numFmtId="0" fontId="15" fillId="8" borderId="15" xfId="0" applyFont="1" applyFill="1" applyBorder="1" applyAlignment="1" applyProtection="1">
      <alignment horizontal="center" vertical="center" textRotation="90" wrapText="1"/>
    </xf>
    <xf numFmtId="0" fontId="2" fillId="0" borderId="4" xfId="0" applyFont="1" applyBorder="1" applyAlignment="1" applyProtection="1"/>
    <xf numFmtId="0" fontId="2" fillId="0" borderId="0" xfId="0" applyFont="1" applyBorder="1" applyAlignment="1" applyProtection="1">
      <alignment wrapText="1"/>
    </xf>
    <xf numFmtId="0" fontId="6" fillId="21" borderId="0" xfId="0" applyFont="1" applyFill="1" applyAlignment="1" applyProtection="1">
      <alignment wrapText="1"/>
    </xf>
    <xf numFmtId="0" fontId="6" fillId="0" borderId="0" xfId="0" applyFont="1" applyAlignment="1" applyProtection="1">
      <alignment wrapText="1"/>
    </xf>
    <xf numFmtId="0" fontId="41" fillId="5" borderId="20" xfId="0" applyFont="1" applyFill="1" applyBorder="1" applyAlignment="1" applyProtection="1">
      <alignment horizontal="center" vertical="center"/>
    </xf>
    <xf numFmtId="0" fontId="4" fillId="17" borderId="35" xfId="0" applyFont="1" applyFill="1" applyBorder="1" applyAlignment="1" applyProtection="1">
      <alignment horizontal="center"/>
    </xf>
    <xf numFmtId="0" fontId="2" fillId="0" borderId="18" xfId="0" applyFont="1" applyBorder="1" applyAlignment="1" applyProtection="1"/>
    <xf numFmtId="0" fontId="2" fillId="0" borderId="0" xfId="0" applyFont="1" applyAlignment="1" applyProtection="1">
      <alignment wrapText="1"/>
    </xf>
    <xf numFmtId="0" fontId="41" fillId="5" borderId="12" xfId="0" applyFont="1" applyFill="1" applyBorder="1" applyAlignment="1" applyProtection="1">
      <alignment horizontal="center" vertical="center"/>
    </xf>
    <xf numFmtId="0" fontId="4" fillId="17" borderId="42" xfId="0" applyFont="1" applyFill="1" applyBorder="1" applyAlignment="1" applyProtection="1">
      <alignment horizontal="center"/>
    </xf>
    <xf numFmtId="164" fontId="0" fillId="2" borderId="0" xfId="0" applyNumberFormat="1" applyFill="1" applyProtection="1"/>
    <xf numFmtId="0" fontId="4" fillId="5" borderId="12" xfId="0" applyFont="1" applyFill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5" fillId="8" borderId="42" xfId="0" applyFont="1" applyFill="1" applyBorder="1" applyProtection="1"/>
    <xf numFmtId="0" fontId="0" fillId="8" borderId="0" xfId="0" applyFill="1" applyProtection="1"/>
    <xf numFmtId="0" fontId="2" fillId="0" borderId="0" xfId="0" applyFont="1" applyBorder="1" applyAlignment="1" applyProtection="1"/>
    <xf numFmtId="0" fontId="41" fillId="3" borderId="12" xfId="0" applyFont="1" applyFill="1" applyBorder="1" applyAlignment="1" applyProtection="1">
      <alignment horizontal="center" vertical="center"/>
    </xf>
    <xf numFmtId="0" fontId="41" fillId="3" borderId="12" xfId="0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right"/>
    </xf>
    <xf numFmtId="2" fontId="0" fillId="0" borderId="0" xfId="0" applyNumberFormat="1" applyProtection="1"/>
    <xf numFmtId="2" fontId="0" fillId="21" borderId="0" xfId="0" applyNumberFormat="1" applyFill="1" applyProtection="1"/>
    <xf numFmtId="0" fontId="5" fillId="3" borderId="12" xfId="0" applyFont="1" applyFill="1" applyBorder="1" applyAlignment="1" applyProtection="1">
      <alignment horizontal="center" vertical="center"/>
    </xf>
    <xf numFmtId="0" fontId="41" fillId="18" borderId="12" xfId="0" applyFont="1" applyFill="1" applyBorder="1" applyAlignment="1" applyProtection="1">
      <alignment horizontal="center" vertical="center" shrinkToFit="1"/>
    </xf>
    <xf numFmtId="0" fontId="2" fillId="0" borderId="0" xfId="0" applyFont="1" applyAlignment="1" applyProtection="1"/>
    <xf numFmtId="0" fontId="41" fillId="18" borderId="12" xfId="0" applyFont="1" applyFill="1" applyBorder="1" applyAlignment="1" applyProtection="1">
      <alignment horizontal="center" vertical="center"/>
    </xf>
    <xf numFmtId="164" fontId="0" fillId="0" borderId="0" xfId="0" applyNumberFormat="1" applyFill="1" applyProtection="1"/>
    <xf numFmtId="0" fontId="4" fillId="8" borderId="2" xfId="0" applyFont="1" applyFill="1" applyBorder="1" applyAlignment="1" applyProtection="1">
      <alignment vertical="center"/>
    </xf>
    <xf numFmtId="0" fontId="4" fillId="8" borderId="3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horizontal="right"/>
    </xf>
    <xf numFmtId="0" fontId="41" fillId="18" borderId="15" xfId="0" applyFont="1" applyFill="1" applyBorder="1" applyAlignment="1" applyProtection="1">
      <alignment horizontal="center" vertical="center"/>
    </xf>
    <xf numFmtId="0" fontId="56" fillId="19" borderId="6" xfId="0" applyFont="1" applyFill="1" applyBorder="1" applyAlignment="1" applyProtection="1">
      <alignment horizontal="center" vertical="center" wrapText="1"/>
    </xf>
    <xf numFmtId="0" fontId="5" fillId="18" borderId="28" xfId="0" applyFont="1" applyFill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</xf>
    <xf numFmtId="0" fontId="13" fillId="8" borderId="8" xfId="0" applyFont="1" applyFill="1" applyBorder="1" applyProtection="1"/>
    <xf numFmtId="0" fontId="14" fillId="0" borderId="18" xfId="0" applyFont="1" applyBorder="1" applyAlignment="1" applyProtection="1">
      <alignment horizontal="center" vertical="center" wrapText="1"/>
    </xf>
    <xf numFmtId="0" fontId="5" fillId="8" borderId="18" xfId="0" applyFont="1" applyFill="1" applyBorder="1" applyProtection="1"/>
    <xf numFmtId="0" fontId="4" fillId="8" borderId="0" xfId="0" applyFont="1" applyFill="1" applyBorder="1" applyAlignment="1" applyProtection="1">
      <alignment horizontal="center"/>
    </xf>
    <xf numFmtId="2" fontId="0" fillId="0" borderId="0" xfId="0" applyNumberFormat="1" applyFill="1" applyProtection="1"/>
    <xf numFmtId="0" fontId="12" fillId="13" borderId="59" xfId="0" applyFont="1" applyFill="1" applyBorder="1" applyAlignment="1" applyProtection="1">
      <alignment horizontal="center" vertical="center"/>
    </xf>
    <xf numFmtId="0" fontId="41" fillId="5" borderId="34" xfId="0" applyFont="1" applyFill="1" applyBorder="1" applyAlignment="1" applyProtection="1">
      <alignment horizontal="center" vertical="center"/>
    </xf>
    <xf numFmtId="0" fontId="41" fillId="5" borderId="31" xfId="0" applyFont="1" applyFill="1" applyBorder="1" applyAlignment="1" applyProtection="1">
      <alignment horizontal="center" vertical="center"/>
    </xf>
    <xf numFmtId="0" fontId="14" fillId="13" borderId="60" xfId="0" applyFont="1" applyFill="1" applyBorder="1" applyAlignment="1" applyProtection="1">
      <alignment horizontal="center" vertical="center"/>
    </xf>
    <xf numFmtId="0" fontId="2" fillId="8" borderId="0" xfId="0" applyFont="1" applyFill="1" applyAlignment="1" applyProtection="1">
      <alignment wrapText="1"/>
    </xf>
    <xf numFmtId="0" fontId="41" fillId="18" borderId="31" xfId="0" applyFont="1" applyFill="1" applyBorder="1" applyAlignment="1" applyProtection="1">
      <alignment horizontal="center" vertical="center" shrinkToFit="1"/>
    </xf>
    <xf numFmtId="0" fontId="59" fillId="8" borderId="0" xfId="0" applyFont="1" applyFill="1" applyBorder="1" applyAlignment="1" applyProtection="1">
      <alignment horizontal="center" vertical="center"/>
    </xf>
    <xf numFmtId="0" fontId="31" fillId="8" borderId="0" xfId="0" applyFont="1" applyFill="1" applyBorder="1" applyProtection="1"/>
    <xf numFmtId="165" fontId="21" fillId="8" borderId="24" xfId="0" applyNumberFormat="1" applyFont="1" applyFill="1" applyBorder="1" applyProtection="1"/>
    <xf numFmtId="164" fontId="21" fillId="8" borderId="26" xfId="0" applyNumberFormat="1" applyFont="1" applyFill="1" applyBorder="1" applyProtection="1"/>
    <xf numFmtId="0" fontId="41" fillId="18" borderId="31" xfId="0" applyFont="1" applyFill="1" applyBorder="1" applyAlignment="1" applyProtection="1">
      <alignment horizontal="center" vertical="center"/>
    </xf>
    <xf numFmtId="0" fontId="13" fillId="13" borderId="60" xfId="0" applyFont="1" applyFill="1" applyBorder="1" applyProtection="1"/>
    <xf numFmtId="0" fontId="59" fillId="8" borderId="0" xfId="0" applyFont="1" applyFill="1" applyBorder="1" applyAlignment="1" applyProtection="1">
      <alignment horizontal="center" vertical="center" shrinkToFit="1"/>
    </xf>
    <xf numFmtId="0" fontId="13" fillId="13" borderId="57" xfId="0" applyFont="1" applyFill="1" applyBorder="1" applyProtection="1"/>
    <xf numFmtId="0" fontId="41" fillId="18" borderId="41" xfId="0" applyFont="1" applyFill="1" applyBorder="1" applyAlignment="1" applyProtection="1">
      <alignment horizontal="center" vertical="center"/>
    </xf>
    <xf numFmtId="0" fontId="4" fillId="17" borderId="37" xfId="0" applyFont="1" applyFill="1" applyBorder="1" applyAlignment="1" applyProtection="1">
      <alignment horizontal="center"/>
    </xf>
    <xf numFmtId="0" fontId="22" fillId="19" borderId="61" xfId="0" applyFont="1" applyFill="1" applyBorder="1" applyAlignment="1" applyProtection="1">
      <alignment horizontal="center" vertical="center"/>
    </xf>
    <xf numFmtId="0" fontId="14" fillId="19" borderId="16" xfId="0" applyFont="1" applyFill="1" applyBorder="1" applyAlignment="1" applyProtection="1">
      <alignment horizontal="center" vertical="center"/>
    </xf>
    <xf numFmtId="0" fontId="39" fillId="8" borderId="0" xfId="0" applyFont="1" applyFill="1" applyBorder="1" applyAlignment="1" applyProtection="1">
      <alignment horizontal="center" vertical="center"/>
    </xf>
    <xf numFmtId="0" fontId="37" fillId="8" borderId="0" xfId="0" applyFont="1" applyFill="1" applyBorder="1" applyProtection="1"/>
    <xf numFmtId="0" fontId="1" fillId="8" borderId="0" xfId="0" applyFont="1" applyFill="1" applyBorder="1" applyAlignment="1" applyProtection="1">
      <alignment horizontal="center" vertical="center"/>
    </xf>
    <xf numFmtId="0" fontId="44" fillId="8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/>
    </xf>
    <xf numFmtId="0" fontId="60" fillId="8" borderId="0" xfId="0" applyFont="1" applyFill="1" applyBorder="1" applyAlignment="1" applyProtection="1">
      <alignment horizontal="center" vertical="center"/>
    </xf>
    <xf numFmtId="0" fontId="31" fillId="8" borderId="0" xfId="0" applyFont="1" applyFill="1" applyProtection="1"/>
    <xf numFmtId="0" fontId="2" fillId="21" borderId="0" xfId="0" applyFont="1" applyFill="1" applyBorder="1" applyAlignment="1" applyProtection="1">
      <alignment horizontal="right"/>
    </xf>
    <xf numFmtId="0" fontId="0" fillId="21" borderId="0" xfId="0" applyFill="1" applyBorder="1" applyProtection="1"/>
    <xf numFmtId="0" fontId="10" fillId="21" borderId="0" xfId="0" applyFont="1" applyFill="1" applyBorder="1" applyAlignment="1" applyProtection="1">
      <alignment horizontal="center"/>
    </xf>
    <xf numFmtId="0" fontId="54" fillId="21" borderId="0" xfId="0" applyFont="1" applyFill="1" applyProtection="1"/>
    <xf numFmtId="0" fontId="55" fillId="21" borderId="0" xfId="0" applyFont="1" applyFill="1" applyProtection="1"/>
    <xf numFmtId="0" fontId="9" fillId="21" borderId="0" xfId="0" applyFont="1" applyFill="1" applyBorder="1" applyAlignment="1" applyProtection="1">
      <alignment horizontal="center" vertical="center"/>
    </xf>
    <xf numFmtId="0" fontId="9" fillId="21" borderId="0" xfId="0" applyFont="1" applyFill="1" applyBorder="1" applyAlignment="1" applyProtection="1">
      <alignment horizontal="center" vertical="center" shrinkToFit="1"/>
    </xf>
    <xf numFmtId="164" fontId="0" fillId="21" borderId="0" xfId="0" applyNumberFormat="1" applyFill="1" applyBorder="1" applyProtection="1"/>
    <xf numFmtId="0" fontId="4" fillId="4" borderId="10" xfId="0" applyFont="1" applyFill="1" applyBorder="1" applyAlignment="1" applyProtection="1">
      <alignment horizontal="center" vertical="center" wrapText="1"/>
    </xf>
    <xf numFmtId="0" fontId="31" fillId="8" borderId="0" xfId="0" applyFont="1" applyFill="1" applyBorder="1" applyAlignment="1" applyProtection="1">
      <alignment horizontal="right"/>
      <protection hidden="1"/>
    </xf>
    <xf numFmtId="164" fontId="4" fillId="9" borderId="9" xfId="0" applyNumberFormat="1" applyFont="1" applyFill="1" applyBorder="1" applyAlignment="1" applyProtection="1">
      <alignment horizontal="center" vertical="center" wrapText="1"/>
    </xf>
    <xf numFmtId="164" fontId="4" fillId="9" borderId="10" xfId="0" applyNumberFormat="1" applyFont="1" applyFill="1" applyBorder="1" applyAlignment="1" applyProtection="1">
      <alignment horizontal="center" vertical="center" wrapText="1"/>
    </xf>
    <xf numFmtId="164" fontId="4" fillId="9" borderId="11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34" fillId="0" borderId="0" xfId="0" applyFont="1" applyAlignment="1" applyProtection="1">
      <alignment horizontal="center" vertical="center"/>
    </xf>
    <xf numFmtId="0" fontId="2" fillId="8" borderId="0" xfId="0" applyFont="1" applyFill="1" applyBorder="1" applyAlignment="1" applyProtection="1">
      <alignment horizontal="left" wrapText="1"/>
    </xf>
    <xf numFmtId="0" fontId="21" fillId="5" borderId="32" xfId="0" applyFont="1" applyFill="1" applyBorder="1" applyAlignment="1" applyProtection="1">
      <alignment horizontal="left" vertical="center" wrapText="1"/>
    </xf>
    <xf numFmtId="0" fontId="21" fillId="5" borderId="33" xfId="0" applyFont="1" applyFill="1" applyBorder="1" applyAlignment="1" applyProtection="1">
      <alignment horizontal="left" vertical="center" wrapText="1"/>
    </xf>
    <xf numFmtId="0" fontId="21" fillId="5" borderId="34" xfId="0" applyFont="1" applyFill="1" applyBorder="1" applyAlignment="1" applyProtection="1">
      <alignment horizontal="left" vertical="center" wrapText="1"/>
    </xf>
    <xf numFmtId="164" fontId="21" fillId="8" borderId="20" xfId="0" applyNumberFormat="1" applyFont="1" applyFill="1" applyBorder="1" applyAlignment="1" applyProtection="1">
      <alignment horizontal="right"/>
    </xf>
    <xf numFmtId="164" fontId="21" fillId="8" borderId="35" xfId="0" applyNumberFormat="1" applyFont="1" applyFill="1" applyBorder="1" applyAlignment="1" applyProtection="1">
      <alignment horizontal="right"/>
    </xf>
    <xf numFmtId="0" fontId="4" fillId="13" borderId="9" xfId="0" applyFont="1" applyFill="1" applyBorder="1" applyAlignment="1" applyProtection="1">
      <alignment horizontal="center" vertical="center"/>
    </xf>
    <xf numFmtId="0" fontId="4" fillId="13" borderId="10" xfId="0" applyFont="1" applyFill="1" applyBorder="1" applyAlignment="1" applyProtection="1">
      <alignment horizontal="center" vertical="center"/>
    </xf>
    <xf numFmtId="0" fontId="4" fillId="13" borderId="11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32" fillId="13" borderId="59" xfId="0" applyFont="1" applyFill="1" applyBorder="1" applyAlignment="1" applyProtection="1">
      <alignment horizontal="center" vertical="center" wrapText="1"/>
    </xf>
    <xf numFmtId="0" fontId="32" fillId="13" borderId="60" xfId="0" applyFont="1" applyFill="1" applyBorder="1" applyAlignment="1" applyProtection="1">
      <alignment horizontal="center" vertical="center" wrapText="1"/>
    </xf>
    <xf numFmtId="0" fontId="32" fillId="19" borderId="15" xfId="0" applyFont="1" applyFill="1" applyBorder="1" applyAlignment="1" applyProtection="1">
      <alignment horizontal="center" vertical="center" wrapText="1"/>
    </xf>
    <xf numFmtId="0" fontId="32" fillId="19" borderId="16" xfId="0" applyFont="1" applyFill="1" applyBorder="1" applyAlignment="1" applyProtection="1">
      <alignment horizontal="center" vertical="center" wrapText="1"/>
    </xf>
    <xf numFmtId="0" fontId="27" fillId="13" borderId="60" xfId="0" applyFont="1" applyFill="1" applyBorder="1" applyAlignment="1" applyProtection="1">
      <alignment horizontal="center" vertical="center"/>
    </xf>
    <xf numFmtId="0" fontId="4" fillId="7" borderId="2" xfId="0" applyFont="1" applyFill="1" applyBorder="1" applyAlignment="1" applyProtection="1">
      <alignment horizontal="center" vertical="center"/>
    </xf>
    <xf numFmtId="0" fontId="4" fillId="7" borderId="3" xfId="0" applyFont="1" applyFill="1" applyBorder="1" applyAlignment="1" applyProtection="1">
      <alignment horizontal="center" vertical="center"/>
    </xf>
    <xf numFmtId="0" fontId="4" fillId="7" borderId="7" xfId="0" applyFont="1" applyFill="1" applyBorder="1" applyAlignment="1" applyProtection="1">
      <alignment horizontal="center" vertical="center"/>
    </xf>
    <xf numFmtId="0" fontId="4" fillId="7" borderId="8" xfId="0" applyFont="1" applyFill="1" applyBorder="1" applyAlignment="1" applyProtection="1">
      <alignment horizontal="center" vertical="center"/>
    </xf>
    <xf numFmtId="0" fontId="4" fillId="5" borderId="10" xfId="0" applyFont="1" applyFill="1" applyBorder="1" applyAlignment="1" applyProtection="1">
      <alignment horizontal="center" vertical="center" wrapText="1"/>
    </xf>
    <xf numFmtId="0" fontId="4" fillId="5" borderId="11" xfId="0" applyFont="1" applyFill="1" applyBorder="1" applyAlignment="1" applyProtection="1">
      <alignment horizontal="center" vertical="center" wrapText="1"/>
    </xf>
    <xf numFmtId="164" fontId="4" fillId="5" borderId="9" xfId="0" applyNumberFormat="1" applyFont="1" applyFill="1" applyBorder="1" applyAlignment="1" applyProtection="1">
      <alignment horizontal="center" vertical="center" wrapText="1"/>
    </xf>
    <xf numFmtId="164" fontId="4" fillId="5" borderId="10" xfId="0" applyNumberFormat="1" applyFont="1" applyFill="1" applyBorder="1" applyAlignment="1" applyProtection="1">
      <alignment horizontal="center" vertical="center" wrapText="1"/>
    </xf>
    <xf numFmtId="164" fontId="4" fillId="5" borderId="11" xfId="0" applyNumberFormat="1" applyFont="1" applyFill="1" applyBorder="1" applyAlignment="1" applyProtection="1">
      <alignment horizontal="center" vertical="center" wrapText="1"/>
    </xf>
    <xf numFmtId="0" fontId="21" fillId="18" borderId="19" xfId="0" applyFont="1" applyFill="1" applyBorder="1" applyAlignment="1" applyProtection="1">
      <alignment horizontal="left" vertical="center" wrapText="1"/>
    </xf>
    <xf numFmtId="0" fontId="21" fillId="18" borderId="20" xfId="0" applyFont="1" applyFill="1" applyBorder="1" applyAlignment="1" applyProtection="1">
      <alignment horizontal="left" vertic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0" fontId="21" fillId="5" borderId="39" xfId="0" applyFont="1" applyFill="1" applyBorder="1" applyAlignment="1" applyProtection="1">
      <alignment horizontal="left" vertical="center" wrapText="1"/>
    </xf>
    <xf numFmtId="0" fontId="21" fillId="5" borderId="40" xfId="0" applyFont="1" applyFill="1" applyBorder="1" applyAlignment="1" applyProtection="1">
      <alignment horizontal="left" vertical="center" wrapText="1"/>
    </xf>
    <xf numFmtId="0" fontId="21" fillId="5" borderId="41" xfId="0" applyFont="1" applyFill="1" applyBorder="1" applyAlignment="1" applyProtection="1">
      <alignment horizontal="left" vertical="center" wrapText="1"/>
    </xf>
    <xf numFmtId="0" fontId="21" fillId="8" borderId="10" xfId="0" applyFont="1" applyFill="1" applyBorder="1" applyAlignment="1" applyProtection="1">
      <alignment horizontal="left" vertical="center" wrapText="1"/>
    </xf>
    <xf numFmtId="0" fontId="21" fillId="8" borderId="38" xfId="0" applyFont="1" applyFill="1" applyBorder="1" applyAlignment="1" applyProtection="1">
      <alignment horizontal="right" vertical="center" wrapText="1"/>
    </xf>
    <xf numFmtId="0" fontId="21" fillId="8" borderId="36" xfId="0" applyFont="1" applyFill="1" applyBorder="1" applyAlignment="1" applyProtection="1">
      <alignment horizontal="right" vertical="center" wrapText="1"/>
    </xf>
    <xf numFmtId="0" fontId="21" fillId="8" borderId="31" xfId="0" applyFont="1" applyFill="1" applyBorder="1" applyAlignment="1" applyProtection="1">
      <alignment horizontal="right" vertical="center" wrapText="1"/>
    </xf>
    <xf numFmtId="0" fontId="35" fillId="8" borderId="0" xfId="0" applyFont="1" applyFill="1" applyBorder="1" applyAlignment="1" applyProtection="1">
      <alignment horizontal="center" vertical="center" wrapText="1"/>
      <protection hidden="1"/>
    </xf>
    <xf numFmtId="0" fontId="21" fillId="3" borderId="39" xfId="0" applyFont="1" applyFill="1" applyBorder="1" applyAlignment="1" applyProtection="1">
      <alignment horizontal="left" vertical="center" wrapText="1"/>
    </xf>
    <xf numFmtId="0" fontId="21" fillId="3" borderId="40" xfId="0" applyFont="1" applyFill="1" applyBorder="1" applyAlignment="1" applyProtection="1">
      <alignment horizontal="left" vertical="center" wrapText="1"/>
    </xf>
    <xf numFmtId="0" fontId="21" fillId="3" borderId="41" xfId="0" applyFont="1" applyFill="1" applyBorder="1" applyAlignment="1" applyProtection="1">
      <alignment horizontal="left" vertical="center" wrapText="1"/>
    </xf>
    <xf numFmtId="164" fontId="21" fillId="8" borderId="28" xfId="0" applyNumberFormat="1" applyFont="1" applyFill="1" applyBorder="1" applyAlignment="1" applyProtection="1">
      <alignment horizontal="right"/>
    </xf>
    <xf numFmtId="164" fontId="21" fillId="8" borderId="37" xfId="0" applyNumberFormat="1" applyFont="1" applyFill="1" applyBorder="1" applyAlignment="1" applyProtection="1">
      <alignment horizontal="right"/>
    </xf>
    <xf numFmtId="0" fontId="21" fillId="3" borderId="32" xfId="0" applyFont="1" applyFill="1" applyBorder="1" applyAlignment="1" applyProtection="1">
      <alignment horizontal="left" vertical="center" wrapText="1"/>
    </xf>
    <xf numFmtId="0" fontId="21" fillId="3" borderId="33" xfId="0" applyFont="1" applyFill="1" applyBorder="1" applyAlignment="1" applyProtection="1">
      <alignment horizontal="left" vertical="center" wrapText="1"/>
    </xf>
    <xf numFmtId="0" fontId="21" fillId="3" borderId="34" xfId="0" applyFont="1" applyFill="1" applyBorder="1" applyAlignment="1" applyProtection="1">
      <alignment horizontal="left" vertical="center" wrapText="1"/>
    </xf>
    <xf numFmtId="0" fontId="21" fillId="8" borderId="0" xfId="0" applyFont="1" applyFill="1" applyBorder="1" applyAlignment="1" applyProtection="1">
      <alignment horizontal="left" vertical="center" wrapText="1"/>
    </xf>
    <xf numFmtId="164" fontId="21" fillId="8" borderId="0" xfId="0" applyNumberFormat="1" applyFont="1" applyFill="1" applyBorder="1" applyAlignment="1" applyProtection="1">
      <alignment horizontal="right"/>
    </xf>
    <xf numFmtId="0" fontId="4" fillId="21" borderId="0" xfId="0" applyFont="1" applyFill="1" applyBorder="1" applyAlignment="1" applyProtection="1">
      <alignment horizontal="center" vertical="center" wrapText="1"/>
    </xf>
    <xf numFmtId="164" fontId="4" fillId="21" borderId="2" xfId="0" applyNumberFormat="1" applyFont="1" applyFill="1" applyBorder="1" applyAlignment="1" applyProtection="1">
      <alignment horizontal="center" vertical="center" wrapText="1"/>
    </xf>
    <xf numFmtId="0" fontId="21" fillId="8" borderId="25" xfId="0" applyFont="1" applyFill="1" applyBorder="1" applyAlignment="1" applyProtection="1">
      <alignment horizontal="right" vertical="center" wrapText="1"/>
    </xf>
    <xf numFmtId="0" fontId="21" fillId="8" borderId="12" xfId="0" applyFont="1" applyFill="1" applyBorder="1" applyAlignment="1" applyProtection="1">
      <alignment horizontal="right" vertical="center" wrapText="1"/>
    </xf>
    <xf numFmtId="164" fontId="21" fillId="8" borderId="12" xfId="0" applyNumberFormat="1" applyFont="1" applyFill="1" applyBorder="1" applyAlignment="1" applyProtection="1">
      <alignment horizontal="right"/>
    </xf>
    <xf numFmtId="164" fontId="21" fillId="8" borderId="42" xfId="0" applyNumberFormat="1" applyFont="1" applyFill="1" applyBorder="1" applyAlignment="1" applyProtection="1">
      <alignment horizontal="right"/>
    </xf>
    <xf numFmtId="0" fontId="21" fillId="18" borderId="27" xfId="0" applyFont="1" applyFill="1" applyBorder="1" applyAlignment="1" applyProtection="1">
      <alignment horizontal="left" vertical="center" wrapText="1"/>
    </xf>
    <xf numFmtId="0" fontId="21" fillId="18" borderId="28" xfId="0" applyFont="1" applyFill="1" applyBorder="1" applyAlignment="1" applyProtection="1">
      <alignment horizontal="left" vertical="center" wrapText="1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4" fillId="17" borderId="1" xfId="0" applyFont="1" applyFill="1" applyBorder="1" applyAlignment="1">
      <alignment horizontal="center" vertical="center"/>
    </xf>
    <xf numFmtId="0" fontId="4" fillId="17" borderId="2" xfId="0" applyFont="1" applyFill="1" applyBorder="1" applyAlignment="1">
      <alignment horizontal="center" vertical="center"/>
    </xf>
    <xf numFmtId="0" fontId="4" fillId="17" borderId="3" xfId="0" applyFont="1" applyFill="1" applyBorder="1" applyAlignment="1">
      <alignment horizontal="center" vertical="center"/>
    </xf>
    <xf numFmtId="0" fontId="4" fillId="17" borderId="4" xfId="0" applyFont="1" applyFill="1" applyBorder="1" applyAlignment="1">
      <alignment horizontal="center" vertical="center"/>
    </xf>
    <xf numFmtId="0" fontId="4" fillId="17" borderId="0" xfId="0" applyFont="1" applyFill="1" applyBorder="1" applyAlignment="1">
      <alignment horizontal="center" vertical="center"/>
    </xf>
    <xf numFmtId="0" fontId="4" fillId="17" borderId="5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40" fillId="8" borderId="0" xfId="0" applyFont="1" applyFill="1" applyBorder="1" applyAlignment="1">
      <alignment horizontal="right"/>
    </xf>
    <xf numFmtId="0" fontId="26" fillId="17" borderId="1" xfId="0" applyFont="1" applyFill="1" applyBorder="1" applyAlignment="1">
      <alignment horizontal="center" vertical="center"/>
    </xf>
    <xf numFmtId="0" fontId="26" fillId="17" borderId="2" xfId="0" applyFont="1" applyFill="1" applyBorder="1" applyAlignment="1">
      <alignment horizontal="center" vertical="center"/>
    </xf>
    <xf numFmtId="0" fontId="26" fillId="17" borderId="3" xfId="0" applyFont="1" applyFill="1" applyBorder="1" applyAlignment="1">
      <alignment horizontal="center" vertical="center"/>
    </xf>
    <xf numFmtId="0" fontId="26" fillId="17" borderId="4" xfId="0" applyFont="1" applyFill="1" applyBorder="1" applyAlignment="1">
      <alignment horizontal="center" vertical="center"/>
    </xf>
    <xf numFmtId="0" fontId="26" fillId="17" borderId="0" xfId="0" applyFont="1" applyFill="1" applyBorder="1" applyAlignment="1">
      <alignment horizontal="center" vertical="center"/>
    </xf>
    <xf numFmtId="0" fontId="26" fillId="17" borderId="5" xfId="0" applyFont="1" applyFill="1" applyBorder="1" applyAlignment="1">
      <alignment horizontal="center" vertical="center"/>
    </xf>
    <xf numFmtId="0" fontId="36" fillId="0" borderId="9" xfId="0" applyFont="1" applyBorder="1" applyAlignment="1">
      <alignment horizontal="center" vertical="center"/>
    </xf>
    <xf numFmtId="0" fontId="36" fillId="0" borderId="10" xfId="0" applyFont="1" applyBorder="1" applyAlignment="1">
      <alignment horizontal="center" vertical="center"/>
    </xf>
    <xf numFmtId="0" fontId="36" fillId="0" borderId="11" xfId="0" applyFont="1" applyBorder="1" applyAlignment="1">
      <alignment horizontal="center" vertical="center"/>
    </xf>
    <xf numFmtId="0" fontId="26" fillId="11" borderId="9" xfId="0" applyFont="1" applyFill="1" applyBorder="1" applyAlignment="1">
      <alignment horizontal="center" vertical="center"/>
    </xf>
    <xf numFmtId="0" fontId="26" fillId="11" borderId="10" xfId="0" applyFont="1" applyFill="1" applyBorder="1" applyAlignment="1">
      <alignment horizontal="center" vertical="center"/>
    </xf>
    <xf numFmtId="0" fontId="26" fillId="11" borderId="11" xfId="0" applyFont="1" applyFill="1" applyBorder="1" applyAlignment="1">
      <alignment horizontal="center" vertical="center"/>
    </xf>
    <xf numFmtId="0" fontId="36" fillId="8" borderId="0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164" fontId="4" fillId="9" borderId="9" xfId="0" applyNumberFormat="1" applyFont="1" applyFill="1" applyBorder="1" applyAlignment="1">
      <alignment horizontal="center" vertical="center" wrapText="1"/>
    </xf>
    <xf numFmtId="164" fontId="4" fillId="9" borderId="10" xfId="0" applyNumberFormat="1" applyFont="1" applyFill="1" applyBorder="1" applyAlignment="1">
      <alignment horizontal="center" vertical="center" wrapText="1"/>
    </xf>
    <xf numFmtId="164" fontId="4" fillId="9" borderId="11" xfId="0" applyNumberFormat="1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164" fontId="4" fillId="5" borderId="9" xfId="0" applyNumberFormat="1" applyFont="1" applyFill="1" applyBorder="1" applyAlignment="1">
      <alignment horizontal="center" vertical="center" wrapText="1"/>
    </xf>
    <xf numFmtId="164" fontId="4" fillId="5" borderId="10" xfId="0" applyNumberFormat="1" applyFont="1" applyFill="1" applyBorder="1" applyAlignment="1">
      <alignment horizontal="center" vertical="center" wrapText="1"/>
    </xf>
    <xf numFmtId="164" fontId="4" fillId="5" borderId="11" xfId="0" applyNumberFormat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4" fillId="5" borderId="19" xfId="0" applyFont="1" applyFill="1" applyBorder="1" applyAlignment="1">
      <alignment horizontal="left" vertical="center" wrapText="1"/>
    </xf>
    <xf numFmtId="0" fontId="4" fillId="5" borderId="20" xfId="0" applyFont="1" applyFill="1" applyBorder="1" applyAlignment="1">
      <alignment horizontal="left" vertical="center" wrapText="1"/>
    </xf>
    <xf numFmtId="164" fontId="4" fillId="8" borderId="20" xfId="0" applyNumberFormat="1" applyFont="1" applyFill="1" applyBorder="1" applyAlignment="1">
      <alignment horizontal="right"/>
    </xf>
    <xf numFmtId="164" fontId="4" fillId="8" borderId="35" xfId="0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left" wrapText="1"/>
    </xf>
    <xf numFmtId="0" fontId="4" fillId="5" borderId="32" xfId="0" applyFont="1" applyFill="1" applyBorder="1" applyAlignment="1">
      <alignment horizontal="left" vertical="center" wrapText="1"/>
    </xf>
    <xf numFmtId="0" fontId="4" fillId="5" borderId="33" xfId="0" applyFont="1" applyFill="1" applyBorder="1" applyAlignment="1">
      <alignment horizontal="left" vertical="center" wrapText="1"/>
    </xf>
    <xf numFmtId="0" fontId="4" fillId="5" borderId="34" xfId="0" applyFont="1" applyFill="1" applyBorder="1" applyAlignment="1">
      <alignment horizontal="left" vertical="center" wrapText="1"/>
    </xf>
    <xf numFmtId="164" fontId="4" fillId="8" borderId="21" xfId="0" applyNumberFormat="1" applyFont="1" applyFill="1" applyBorder="1" applyAlignment="1">
      <alignment horizontal="right"/>
    </xf>
    <xf numFmtId="164" fontId="4" fillId="8" borderId="22" xfId="0" applyNumberFormat="1" applyFont="1" applyFill="1" applyBorder="1" applyAlignment="1">
      <alignment horizontal="right"/>
    </xf>
    <xf numFmtId="0" fontId="4" fillId="8" borderId="38" xfId="0" applyFont="1" applyFill="1" applyBorder="1" applyAlignment="1">
      <alignment horizontal="right" vertical="center" wrapText="1"/>
    </xf>
    <xf numFmtId="0" fontId="4" fillId="8" borderId="36" xfId="0" applyFont="1" applyFill="1" applyBorder="1" applyAlignment="1">
      <alignment horizontal="right" vertical="center" wrapText="1"/>
    </xf>
    <xf numFmtId="0" fontId="4" fillId="8" borderId="31" xfId="0" applyFont="1" applyFill="1" applyBorder="1" applyAlignment="1">
      <alignment horizontal="right" vertical="center" wrapText="1"/>
    </xf>
    <xf numFmtId="0" fontId="4" fillId="5" borderId="39" xfId="0" applyFont="1" applyFill="1" applyBorder="1" applyAlignment="1">
      <alignment horizontal="left" vertical="center" wrapText="1"/>
    </xf>
    <xf numFmtId="0" fontId="4" fillId="5" borderId="40" xfId="0" applyFont="1" applyFill="1" applyBorder="1" applyAlignment="1">
      <alignment horizontal="left" vertical="center" wrapText="1"/>
    </xf>
    <xf numFmtId="0" fontId="4" fillId="5" borderId="41" xfId="0" applyFont="1" applyFill="1" applyBorder="1" applyAlignment="1">
      <alignment horizontal="left" vertical="center" wrapText="1"/>
    </xf>
    <xf numFmtId="164" fontId="4" fillId="8" borderId="29" xfId="0" applyNumberFormat="1" applyFont="1" applyFill="1" applyBorder="1" applyAlignment="1">
      <alignment horizontal="right"/>
    </xf>
    <xf numFmtId="164" fontId="4" fillId="8" borderId="30" xfId="0" applyNumberFormat="1" applyFont="1" applyFill="1" applyBorder="1" applyAlignment="1">
      <alignment horizontal="right"/>
    </xf>
    <xf numFmtId="0" fontId="4" fillId="4" borderId="11" xfId="0" applyFont="1" applyFill="1" applyBorder="1" applyAlignment="1">
      <alignment horizontal="center" vertical="center" wrapText="1"/>
    </xf>
    <xf numFmtId="164" fontId="26" fillId="9" borderId="9" xfId="0" applyNumberFormat="1" applyFont="1" applyFill="1" applyBorder="1" applyAlignment="1">
      <alignment horizontal="center" vertical="center" wrapText="1"/>
    </xf>
    <xf numFmtId="164" fontId="26" fillId="9" borderId="10" xfId="0" applyNumberFormat="1" applyFont="1" applyFill="1" applyBorder="1" applyAlignment="1">
      <alignment horizontal="center" vertical="center" wrapText="1"/>
    </xf>
    <xf numFmtId="164" fontId="26" fillId="9" borderId="11" xfId="0" applyNumberFormat="1" applyFont="1" applyFill="1" applyBorder="1" applyAlignment="1">
      <alignment horizontal="center" vertical="center" wrapText="1"/>
    </xf>
    <xf numFmtId="0" fontId="4" fillId="8" borderId="25" xfId="0" applyFont="1" applyFill="1" applyBorder="1" applyAlignment="1">
      <alignment horizontal="right" vertical="center" wrapText="1"/>
    </xf>
    <xf numFmtId="0" fontId="4" fillId="8" borderId="12" xfId="0" applyFont="1" applyFill="1" applyBorder="1" applyAlignment="1">
      <alignment horizontal="right" vertical="center" wrapText="1"/>
    </xf>
    <xf numFmtId="0" fontId="4" fillId="3" borderId="27" xfId="0" applyFont="1" applyFill="1" applyBorder="1" applyAlignment="1">
      <alignment horizontal="left" vertical="center" wrapText="1"/>
    </xf>
    <xf numFmtId="0" fontId="4" fillId="3" borderId="28" xfId="0" applyFont="1" applyFill="1" applyBorder="1" applyAlignment="1">
      <alignment horizontal="left" vertical="center" wrapText="1"/>
    </xf>
    <xf numFmtId="164" fontId="4" fillId="3" borderId="28" xfId="0" applyNumberFormat="1" applyFont="1" applyFill="1" applyBorder="1" applyAlignment="1">
      <alignment horizontal="right"/>
    </xf>
    <xf numFmtId="164" fontId="4" fillId="3" borderId="37" xfId="0" applyNumberFormat="1" applyFont="1" applyFill="1" applyBorder="1" applyAlignment="1">
      <alignment horizontal="right"/>
    </xf>
    <xf numFmtId="0" fontId="4" fillId="3" borderId="39" xfId="0" applyFont="1" applyFill="1" applyBorder="1" applyAlignment="1">
      <alignment horizontal="left" vertical="center" wrapText="1"/>
    </xf>
    <xf numFmtId="0" fontId="4" fillId="3" borderId="40" xfId="0" applyFont="1" applyFill="1" applyBorder="1" applyAlignment="1">
      <alignment horizontal="left" vertical="center" wrapText="1"/>
    </xf>
    <xf numFmtId="0" fontId="4" fillId="3" borderId="41" xfId="0" applyFont="1" applyFill="1" applyBorder="1" applyAlignment="1">
      <alignment horizontal="left" vertical="center" wrapText="1"/>
    </xf>
    <xf numFmtId="164" fontId="4" fillId="3" borderId="29" xfId="0" applyNumberFormat="1" applyFont="1" applyFill="1" applyBorder="1" applyAlignment="1">
      <alignment horizontal="right"/>
    </xf>
    <xf numFmtId="164" fontId="4" fillId="3" borderId="30" xfId="0" applyNumberFormat="1" applyFont="1" applyFill="1" applyBorder="1" applyAlignment="1">
      <alignment horizontal="right"/>
    </xf>
    <xf numFmtId="0" fontId="4" fillId="8" borderId="0" xfId="0" applyFont="1" applyFill="1" applyBorder="1" applyAlignment="1">
      <alignment horizontal="left" vertical="center" wrapText="1"/>
    </xf>
    <xf numFmtId="164" fontId="4" fillId="8" borderId="0" xfId="0" applyNumberFormat="1" applyFont="1" applyFill="1" applyBorder="1" applyAlignment="1">
      <alignment horizontal="right"/>
    </xf>
    <xf numFmtId="0" fontId="4" fillId="8" borderId="10" xfId="0" applyFont="1" applyFill="1" applyBorder="1" applyAlignment="1">
      <alignment horizontal="left" vertical="center" wrapText="1"/>
    </xf>
    <xf numFmtId="164" fontId="4" fillId="8" borderId="10" xfId="0" applyNumberFormat="1" applyFont="1" applyFill="1" applyBorder="1" applyAlignment="1">
      <alignment horizontal="right"/>
    </xf>
    <xf numFmtId="0" fontId="4" fillId="3" borderId="19" xfId="0" applyFont="1" applyFill="1" applyBorder="1" applyAlignment="1">
      <alignment horizontal="left" vertical="center" wrapText="1"/>
    </xf>
    <xf numFmtId="0" fontId="4" fillId="3" borderId="20" xfId="0" applyFont="1" applyFill="1" applyBorder="1" applyAlignment="1">
      <alignment horizontal="left" vertical="center" wrapText="1"/>
    </xf>
    <xf numFmtId="164" fontId="4" fillId="3" borderId="20" xfId="0" applyNumberFormat="1" applyFont="1" applyFill="1" applyBorder="1" applyAlignment="1">
      <alignment horizontal="right"/>
    </xf>
    <xf numFmtId="164" fontId="4" fillId="3" borderId="35" xfId="0" applyNumberFormat="1" applyFont="1" applyFill="1" applyBorder="1" applyAlignment="1">
      <alignment horizontal="right"/>
    </xf>
    <xf numFmtId="0" fontId="4" fillId="3" borderId="32" xfId="0" applyFont="1" applyFill="1" applyBorder="1" applyAlignment="1">
      <alignment horizontal="left" vertical="center" wrapText="1"/>
    </xf>
    <xf numFmtId="0" fontId="4" fillId="3" borderId="33" xfId="0" applyFont="1" applyFill="1" applyBorder="1" applyAlignment="1">
      <alignment horizontal="left" vertical="center" wrapText="1"/>
    </xf>
    <xf numFmtId="0" fontId="4" fillId="3" borderId="34" xfId="0" applyFont="1" applyFill="1" applyBorder="1" applyAlignment="1">
      <alignment horizontal="left" vertical="center" wrapText="1"/>
    </xf>
    <xf numFmtId="164" fontId="4" fillId="3" borderId="21" xfId="0" applyNumberFormat="1" applyFont="1" applyFill="1" applyBorder="1" applyAlignment="1">
      <alignment horizontal="right"/>
    </xf>
    <xf numFmtId="164" fontId="4" fillId="3" borderId="22" xfId="0" applyNumberFormat="1" applyFont="1" applyFill="1" applyBorder="1" applyAlignment="1">
      <alignment horizontal="right"/>
    </xf>
    <xf numFmtId="0" fontId="4" fillId="5" borderId="27" xfId="0" applyFont="1" applyFill="1" applyBorder="1" applyAlignment="1">
      <alignment horizontal="left" vertical="center" wrapText="1"/>
    </xf>
    <xf numFmtId="0" fontId="4" fillId="5" borderId="28" xfId="0" applyFont="1" applyFill="1" applyBorder="1" applyAlignment="1">
      <alignment horizontal="left" vertical="center" wrapText="1"/>
    </xf>
    <xf numFmtId="164" fontId="4" fillId="8" borderId="28" xfId="0" applyNumberFormat="1" applyFont="1" applyFill="1" applyBorder="1" applyAlignment="1">
      <alignment horizontal="right"/>
    </xf>
    <xf numFmtId="164" fontId="4" fillId="8" borderId="37" xfId="0" applyNumberFormat="1" applyFont="1" applyFill="1" applyBorder="1" applyAlignment="1">
      <alignment horizontal="right"/>
    </xf>
    <xf numFmtId="0" fontId="4" fillId="8" borderId="0" xfId="0" applyFont="1" applyFill="1" applyBorder="1" applyAlignment="1">
      <alignment horizontal="right" vertical="center" wrapText="1"/>
    </xf>
    <xf numFmtId="0" fontId="4" fillId="8" borderId="27" xfId="0" applyFont="1" applyFill="1" applyBorder="1" applyAlignment="1">
      <alignment horizontal="left" vertical="center" wrapText="1"/>
    </xf>
    <xf numFmtId="0" fontId="4" fillId="8" borderId="28" xfId="0" applyFont="1" applyFill="1" applyBorder="1" applyAlignment="1">
      <alignment horizontal="left" vertical="center" wrapText="1"/>
    </xf>
    <xf numFmtId="0" fontId="26" fillId="12" borderId="1" xfId="0" applyFont="1" applyFill="1" applyBorder="1" applyAlignment="1">
      <alignment horizontal="center" vertical="center"/>
    </xf>
    <xf numFmtId="0" fontId="26" fillId="12" borderId="2" xfId="0" applyFont="1" applyFill="1" applyBorder="1" applyAlignment="1">
      <alignment horizontal="center" vertical="center"/>
    </xf>
    <xf numFmtId="0" fontId="26" fillId="12" borderId="3" xfId="0" applyFont="1" applyFill="1" applyBorder="1" applyAlignment="1">
      <alignment horizontal="center" vertical="center"/>
    </xf>
    <xf numFmtId="0" fontId="26" fillId="12" borderId="6" xfId="0" applyFont="1" applyFill="1" applyBorder="1" applyAlignment="1">
      <alignment horizontal="center" vertical="center"/>
    </xf>
    <xf numFmtId="0" fontId="26" fillId="12" borderId="7" xfId="0" applyFont="1" applyFill="1" applyBorder="1" applyAlignment="1">
      <alignment horizontal="center" vertical="center"/>
    </xf>
    <xf numFmtId="0" fontId="26" fillId="12" borderId="8" xfId="0" applyFont="1" applyFill="1" applyBorder="1" applyAlignment="1">
      <alignment horizontal="center" vertical="center"/>
    </xf>
    <xf numFmtId="0" fontId="4" fillId="21" borderId="0" xfId="0" applyFont="1" applyFill="1" applyBorder="1" applyAlignment="1">
      <alignment horizontal="center" vertical="center" wrapText="1"/>
    </xf>
    <xf numFmtId="164" fontId="4" fillId="21" borderId="0" xfId="0" applyNumberFormat="1" applyFont="1" applyFill="1" applyBorder="1" applyAlignment="1">
      <alignment horizontal="center" vertical="center" wrapText="1"/>
    </xf>
    <xf numFmtId="164" fontId="26" fillId="5" borderId="9" xfId="0" applyNumberFormat="1" applyFont="1" applyFill="1" applyBorder="1" applyAlignment="1">
      <alignment horizontal="center" vertical="center" wrapText="1"/>
    </xf>
    <xf numFmtId="164" fontId="26" fillId="5" borderId="10" xfId="0" applyNumberFormat="1" applyFont="1" applyFill="1" applyBorder="1" applyAlignment="1">
      <alignment horizontal="center" vertical="center" wrapText="1"/>
    </xf>
    <xf numFmtId="164" fontId="26" fillId="5" borderId="11" xfId="0" applyNumberFormat="1" applyFont="1" applyFill="1" applyBorder="1" applyAlignment="1">
      <alignment horizontal="center" vertical="center" wrapText="1"/>
    </xf>
    <xf numFmtId="0" fontId="4" fillId="6" borderId="25" xfId="0" applyFont="1" applyFill="1" applyBorder="1" applyAlignment="1">
      <alignment horizontal="right" vertical="center" wrapText="1"/>
    </xf>
    <xf numFmtId="0" fontId="4" fillId="6" borderId="12" xfId="0" applyFont="1" applyFill="1" applyBorder="1" applyAlignment="1">
      <alignment horizontal="right" vertical="center" wrapText="1"/>
    </xf>
    <xf numFmtId="164" fontId="4" fillId="8" borderId="12" xfId="0" applyNumberFormat="1" applyFont="1" applyFill="1" applyBorder="1" applyAlignment="1">
      <alignment horizontal="right"/>
    </xf>
    <xf numFmtId="164" fontId="4" fillId="8" borderId="42" xfId="0" applyNumberFormat="1" applyFont="1" applyFill="1" applyBorder="1" applyAlignment="1">
      <alignment horizontal="right"/>
    </xf>
    <xf numFmtId="0" fontId="4" fillId="8" borderId="2" xfId="0" applyFont="1" applyFill="1" applyBorder="1" applyAlignment="1">
      <alignment horizontal="left" vertical="center" wrapText="1"/>
    </xf>
    <xf numFmtId="164" fontId="4" fillId="8" borderId="2" xfId="0" applyNumberFormat="1" applyFont="1" applyFill="1" applyBorder="1" applyAlignment="1">
      <alignment horizontal="right"/>
    </xf>
    <xf numFmtId="0" fontId="4" fillId="6" borderId="19" xfId="0" applyFont="1" applyFill="1" applyBorder="1" applyAlignment="1">
      <alignment horizontal="left" vertical="center" wrapText="1"/>
    </xf>
    <xf numFmtId="0" fontId="4" fillId="6" borderId="20" xfId="0" applyFont="1" applyFill="1" applyBorder="1" applyAlignment="1">
      <alignment horizontal="left" vertical="center" wrapText="1"/>
    </xf>
    <xf numFmtId="0" fontId="4" fillId="8" borderId="0" xfId="0" applyFont="1" applyFill="1" applyBorder="1" applyAlignment="1">
      <alignment horizontal="right"/>
    </xf>
    <xf numFmtId="0" fontId="5" fillId="0" borderId="0" xfId="0" applyFont="1" applyAlignment="1">
      <alignment horizontal="left" wrapText="1"/>
    </xf>
    <xf numFmtId="0" fontId="4" fillId="8" borderId="0" xfId="0" applyFont="1" applyFill="1" applyBorder="1" applyAlignment="1">
      <alignment horizontal="center" vertical="center" wrapText="1"/>
    </xf>
    <xf numFmtId="164" fontId="4" fillId="8" borderId="2" xfId="0" applyNumberFormat="1" applyFont="1" applyFill="1" applyBorder="1" applyAlignment="1">
      <alignment horizontal="center" vertical="center" wrapText="1"/>
    </xf>
    <xf numFmtId="0" fontId="57" fillId="8" borderId="0" xfId="0" applyFont="1" applyFill="1" applyBorder="1" applyAlignment="1">
      <alignment horizontal="center" vertical="center" wrapText="1"/>
    </xf>
    <xf numFmtId="0" fontId="5" fillId="8" borderId="0" xfId="0" applyFont="1" applyFill="1" applyBorder="1" applyAlignment="1">
      <alignment horizontal="left" wrapText="1"/>
    </xf>
    <xf numFmtId="0" fontId="4" fillId="8" borderId="0" xfId="0" applyFont="1" applyFill="1" applyBorder="1" applyAlignment="1">
      <alignment horizontal="center" vertical="center"/>
    </xf>
    <xf numFmtId="0" fontId="13" fillId="8" borderId="0" xfId="0" applyFont="1" applyFill="1" applyBorder="1" applyAlignment="1">
      <alignment horizontal="right"/>
    </xf>
    <xf numFmtId="0" fontId="17" fillId="0" borderId="4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left" vertical="center" wrapText="1"/>
    </xf>
    <xf numFmtId="0" fontId="5" fillId="3" borderId="20" xfId="0" applyFont="1" applyFill="1" applyBorder="1" applyAlignment="1">
      <alignment horizontal="left" vertical="center" wrapText="1"/>
    </xf>
    <xf numFmtId="164" fontId="5" fillId="3" borderId="20" xfId="0" applyNumberFormat="1" applyFont="1" applyFill="1" applyBorder="1" applyAlignment="1">
      <alignment horizontal="right"/>
    </xf>
    <xf numFmtId="164" fontId="5" fillId="3" borderId="35" xfId="0" applyNumberFormat="1" applyFont="1" applyFill="1" applyBorder="1" applyAlignment="1">
      <alignment horizontal="right"/>
    </xf>
    <xf numFmtId="0" fontId="5" fillId="8" borderId="38" xfId="0" applyFont="1" applyFill="1" applyBorder="1" applyAlignment="1">
      <alignment horizontal="right" vertical="center" wrapText="1"/>
    </xf>
    <xf numFmtId="0" fontId="5" fillId="8" borderId="36" xfId="0" applyFont="1" applyFill="1" applyBorder="1" applyAlignment="1">
      <alignment horizontal="right" vertical="center" wrapText="1"/>
    </xf>
    <xf numFmtId="0" fontId="5" fillId="8" borderId="31" xfId="0" applyFont="1" applyFill="1" applyBorder="1" applyAlignment="1">
      <alignment horizontal="right" vertical="center" wrapText="1"/>
    </xf>
    <xf numFmtId="0" fontId="15" fillId="17" borderId="1" xfId="0" applyFont="1" applyFill="1" applyBorder="1" applyAlignment="1">
      <alignment horizontal="center" vertical="center"/>
    </xf>
    <xf numFmtId="0" fontId="15" fillId="17" borderId="2" xfId="0" applyFont="1" applyFill="1" applyBorder="1" applyAlignment="1">
      <alignment horizontal="center" vertical="center"/>
    </xf>
    <xf numFmtId="0" fontId="15" fillId="17" borderId="3" xfId="0" applyFont="1" applyFill="1" applyBorder="1" applyAlignment="1">
      <alignment horizontal="center" vertical="center"/>
    </xf>
    <xf numFmtId="0" fontId="15" fillId="17" borderId="4" xfId="0" applyFont="1" applyFill="1" applyBorder="1" applyAlignment="1">
      <alignment horizontal="center" vertical="center"/>
    </xf>
    <xf numFmtId="0" fontId="15" fillId="17" borderId="0" xfId="0" applyFont="1" applyFill="1" applyBorder="1" applyAlignment="1">
      <alignment horizontal="center" vertical="center"/>
    </xf>
    <xf numFmtId="0" fontId="15" fillId="17" borderId="5" xfId="0" applyFont="1" applyFill="1" applyBorder="1" applyAlignment="1">
      <alignment horizontal="center" vertical="center"/>
    </xf>
    <xf numFmtId="0" fontId="15" fillId="11" borderId="9" xfId="0" applyFont="1" applyFill="1" applyBorder="1" applyAlignment="1">
      <alignment horizontal="center" vertical="center"/>
    </xf>
    <xf numFmtId="0" fontId="15" fillId="11" borderId="10" xfId="0" applyFont="1" applyFill="1" applyBorder="1" applyAlignment="1">
      <alignment horizontal="center" vertical="center"/>
    </xf>
    <xf numFmtId="0" fontId="15" fillId="11" borderId="11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wrapText="1"/>
    </xf>
    <xf numFmtId="164" fontId="15" fillId="9" borderId="9" xfId="0" applyNumberFormat="1" applyFont="1" applyFill="1" applyBorder="1" applyAlignment="1">
      <alignment horizontal="center" vertical="center" wrapText="1"/>
    </xf>
    <xf numFmtId="164" fontId="15" fillId="9" borderId="10" xfId="0" applyNumberFormat="1" applyFont="1" applyFill="1" applyBorder="1" applyAlignment="1">
      <alignment horizontal="center" vertical="center" wrapText="1"/>
    </xf>
    <xf numFmtId="164" fontId="15" fillId="9" borderId="11" xfId="0" applyNumberFormat="1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/>
    </xf>
    <xf numFmtId="0" fontId="15" fillId="7" borderId="2" xfId="0" applyFont="1" applyFill="1" applyBorder="1" applyAlignment="1">
      <alignment horizontal="center" vertical="center"/>
    </xf>
    <xf numFmtId="0" fontId="15" fillId="7" borderId="3" xfId="0" applyFont="1" applyFill="1" applyBorder="1" applyAlignment="1">
      <alignment horizontal="center" vertical="center"/>
    </xf>
    <xf numFmtId="0" fontId="15" fillId="7" borderId="6" xfId="0" applyFont="1" applyFill="1" applyBorder="1" applyAlignment="1">
      <alignment horizontal="center" vertical="center"/>
    </xf>
    <xf numFmtId="0" fontId="15" fillId="7" borderId="7" xfId="0" applyFont="1" applyFill="1" applyBorder="1" applyAlignment="1">
      <alignment horizontal="center" vertical="center"/>
    </xf>
    <xf numFmtId="0" fontId="15" fillId="7" borderId="8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 wrapText="1"/>
    </xf>
    <xf numFmtId="164" fontId="15" fillId="5" borderId="9" xfId="0" applyNumberFormat="1" applyFont="1" applyFill="1" applyBorder="1" applyAlignment="1">
      <alignment horizontal="center" vertical="center" wrapText="1"/>
    </xf>
    <xf numFmtId="164" fontId="15" fillId="5" borderId="10" xfId="0" applyNumberFormat="1" applyFont="1" applyFill="1" applyBorder="1" applyAlignment="1">
      <alignment horizontal="center" vertical="center" wrapText="1"/>
    </xf>
    <xf numFmtId="164" fontId="15" fillId="5" borderId="11" xfId="0" applyNumberFormat="1" applyFont="1" applyFill="1" applyBorder="1" applyAlignment="1">
      <alignment horizontal="center" vertical="center" wrapText="1"/>
    </xf>
    <xf numFmtId="0" fontId="39" fillId="8" borderId="0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5" fillId="8" borderId="25" xfId="0" applyFont="1" applyFill="1" applyBorder="1" applyAlignment="1">
      <alignment horizontal="right" vertical="center" wrapText="1"/>
    </xf>
    <xf numFmtId="0" fontId="5" fillId="8" borderId="12" xfId="0" applyFont="1" applyFill="1" applyBorder="1" applyAlignment="1">
      <alignment horizontal="right" vertical="center" wrapText="1"/>
    </xf>
    <xf numFmtId="0" fontId="5" fillId="8" borderId="42" xfId="0" applyFont="1" applyFill="1" applyBorder="1" applyAlignment="1">
      <alignment horizontal="right" vertical="center" wrapText="1"/>
    </xf>
    <xf numFmtId="0" fontId="5" fillId="5" borderId="27" xfId="0" applyFont="1" applyFill="1" applyBorder="1" applyAlignment="1">
      <alignment horizontal="left" vertical="center" wrapText="1"/>
    </xf>
    <xf numFmtId="0" fontId="5" fillId="5" borderId="28" xfId="0" applyFont="1" applyFill="1" applyBorder="1" applyAlignment="1">
      <alignment horizontal="left" vertical="center" wrapText="1"/>
    </xf>
    <xf numFmtId="0" fontId="5" fillId="5" borderId="37" xfId="0" applyFont="1" applyFill="1" applyBorder="1" applyAlignment="1">
      <alignment horizontal="left" vertical="center" wrapText="1"/>
    </xf>
    <xf numFmtId="164" fontId="5" fillId="8" borderId="28" xfId="0" applyNumberFormat="1" applyFont="1" applyFill="1" applyBorder="1" applyAlignment="1">
      <alignment horizontal="right"/>
    </xf>
    <xf numFmtId="164" fontId="5" fillId="8" borderId="37" xfId="0" applyNumberFormat="1" applyFont="1" applyFill="1" applyBorder="1" applyAlignment="1">
      <alignment horizontal="right"/>
    </xf>
    <xf numFmtId="0" fontId="5" fillId="3" borderId="27" xfId="0" applyFont="1" applyFill="1" applyBorder="1" applyAlignment="1">
      <alignment horizontal="left" vertical="center" wrapText="1"/>
    </xf>
    <xf numFmtId="0" fontId="5" fillId="3" borderId="28" xfId="0" applyFont="1" applyFill="1" applyBorder="1" applyAlignment="1">
      <alignment horizontal="left" vertical="center" wrapText="1"/>
    </xf>
    <xf numFmtId="0" fontId="5" fillId="8" borderId="0" xfId="0" applyFont="1" applyFill="1" applyBorder="1" applyAlignment="1">
      <alignment horizontal="left" vertical="center" wrapText="1"/>
    </xf>
    <xf numFmtId="164" fontId="5" fillId="8" borderId="0" xfId="0" applyNumberFormat="1" applyFont="1" applyFill="1" applyBorder="1" applyAlignment="1">
      <alignment horizontal="right"/>
    </xf>
    <xf numFmtId="0" fontId="48" fillId="8" borderId="0" xfId="0" applyFont="1" applyFill="1" applyBorder="1" applyAlignment="1">
      <alignment horizontal="center" vertical="center" wrapText="1"/>
    </xf>
    <xf numFmtId="0" fontId="42" fillId="8" borderId="0" xfId="0" applyFont="1" applyFill="1" applyBorder="1" applyAlignment="1">
      <alignment horizontal="right"/>
    </xf>
    <xf numFmtId="0" fontId="5" fillId="6" borderId="19" xfId="0" applyFont="1" applyFill="1" applyBorder="1" applyAlignment="1">
      <alignment horizontal="left" vertical="center" wrapText="1"/>
    </xf>
    <xf numFmtId="0" fontId="5" fillId="6" borderId="20" xfId="0" applyFont="1" applyFill="1" applyBorder="1" applyAlignment="1">
      <alignment horizontal="left" vertical="center" wrapText="1"/>
    </xf>
    <xf numFmtId="164" fontId="5" fillId="8" borderId="20" xfId="0" applyNumberFormat="1" applyFont="1" applyFill="1" applyBorder="1" applyAlignment="1">
      <alignment horizontal="right"/>
    </xf>
    <xf numFmtId="164" fontId="5" fillId="8" borderId="35" xfId="0" applyNumberFormat="1" applyFont="1" applyFill="1" applyBorder="1" applyAlignment="1">
      <alignment horizontal="right"/>
    </xf>
    <xf numFmtId="0" fontId="5" fillId="8" borderId="0" xfId="0" applyFont="1" applyFill="1" applyBorder="1" applyAlignment="1">
      <alignment horizontal="center" vertical="center" wrapText="1"/>
    </xf>
    <xf numFmtId="164" fontId="5" fillId="8" borderId="0" xfId="0" applyNumberFormat="1" applyFont="1" applyFill="1" applyBorder="1" applyAlignment="1">
      <alignment horizontal="center" vertical="center" wrapText="1"/>
    </xf>
    <xf numFmtId="0" fontId="5" fillId="6" borderId="25" xfId="0" applyFont="1" applyFill="1" applyBorder="1" applyAlignment="1">
      <alignment horizontal="right" vertical="center" wrapText="1"/>
    </xf>
    <xf numFmtId="0" fontId="5" fillId="6" borderId="12" xfId="0" applyFont="1" applyFill="1" applyBorder="1" applyAlignment="1">
      <alignment horizontal="right" vertical="center" wrapText="1"/>
    </xf>
    <xf numFmtId="164" fontId="5" fillId="8" borderId="12" xfId="0" applyNumberFormat="1" applyFont="1" applyFill="1" applyBorder="1" applyAlignment="1">
      <alignment horizontal="right"/>
    </xf>
    <xf numFmtId="164" fontId="5" fillId="8" borderId="42" xfId="0" applyNumberFormat="1" applyFont="1" applyFill="1" applyBorder="1" applyAlignment="1">
      <alignment horizontal="right"/>
    </xf>
    <xf numFmtId="0" fontId="22" fillId="8" borderId="0" xfId="0" applyFont="1" applyFill="1" applyAlignment="1">
      <alignment horizontal="left" wrapText="1"/>
    </xf>
    <xf numFmtId="0" fontId="5" fillId="5" borderId="32" xfId="0" applyFont="1" applyFill="1" applyBorder="1" applyAlignment="1">
      <alignment horizontal="left" vertical="center" wrapText="1"/>
    </xf>
    <xf numFmtId="0" fontId="5" fillId="5" borderId="33" xfId="0" applyFont="1" applyFill="1" applyBorder="1" applyAlignment="1">
      <alignment horizontal="left" vertical="center" wrapText="1"/>
    </xf>
    <xf numFmtId="0" fontId="5" fillId="5" borderId="22" xfId="0" applyFont="1" applyFill="1" applyBorder="1" applyAlignment="1">
      <alignment horizontal="left" vertical="center" wrapText="1"/>
    </xf>
    <xf numFmtId="164" fontId="5" fillId="5" borderId="34" xfId="0" applyNumberFormat="1" applyFont="1" applyFill="1" applyBorder="1" applyAlignment="1">
      <alignment horizontal="right"/>
    </xf>
    <xf numFmtId="164" fontId="5" fillId="5" borderId="35" xfId="0" applyNumberFormat="1" applyFont="1" applyFill="1" applyBorder="1" applyAlignment="1">
      <alignment horizontal="right"/>
    </xf>
    <xf numFmtId="0" fontId="49" fillId="8" borderId="0" xfId="0" applyFont="1" applyFill="1" applyBorder="1" applyAlignment="1">
      <alignment horizontal="right"/>
    </xf>
    <xf numFmtId="164" fontId="42" fillId="8" borderId="0" xfId="0" applyNumberFormat="1" applyFont="1" applyFill="1" applyBorder="1" applyAlignment="1">
      <alignment horizontal="right"/>
    </xf>
    <xf numFmtId="0" fontId="5" fillId="6" borderId="27" xfId="0" applyFont="1" applyFill="1" applyBorder="1" applyAlignment="1">
      <alignment horizontal="left" vertical="center" wrapText="1"/>
    </xf>
    <xf numFmtId="0" fontId="5" fillId="6" borderId="28" xfId="0" applyFont="1" applyFill="1" applyBorder="1" applyAlignment="1">
      <alignment horizontal="left" vertical="center" wrapText="1"/>
    </xf>
    <xf numFmtId="0" fontId="15" fillId="12" borderId="1" xfId="0" applyFont="1" applyFill="1" applyBorder="1" applyAlignment="1">
      <alignment horizontal="center" vertical="center"/>
    </xf>
    <xf numFmtId="0" fontId="15" fillId="12" borderId="2" xfId="0" applyFont="1" applyFill="1" applyBorder="1" applyAlignment="1">
      <alignment horizontal="center" vertical="center"/>
    </xf>
    <xf numFmtId="0" fontId="15" fillId="12" borderId="3" xfId="0" applyFont="1" applyFill="1" applyBorder="1" applyAlignment="1">
      <alignment horizontal="center" vertical="center"/>
    </xf>
    <xf numFmtId="0" fontId="15" fillId="12" borderId="6" xfId="0" applyFont="1" applyFill="1" applyBorder="1" applyAlignment="1">
      <alignment horizontal="center" vertical="center"/>
    </xf>
    <xf numFmtId="0" fontId="15" fillId="12" borderId="7" xfId="0" applyFont="1" applyFill="1" applyBorder="1" applyAlignment="1">
      <alignment horizontal="center" vertical="center"/>
    </xf>
    <xf numFmtId="0" fontId="15" fillId="12" borderId="8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left" vertical="center" wrapText="1"/>
    </xf>
    <xf numFmtId="0" fontId="5" fillId="5" borderId="20" xfId="0" applyFont="1" applyFill="1" applyBorder="1" applyAlignment="1">
      <alignment horizontal="left" vertical="center" wrapText="1"/>
    </xf>
    <xf numFmtId="0" fontId="5" fillId="5" borderId="34" xfId="0" applyFont="1" applyFill="1" applyBorder="1" applyAlignment="1">
      <alignment horizontal="left" vertical="center" wrapText="1"/>
    </xf>
    <xf numFmtId="164" fontId="5" fillId="5" borderId="20" xfId="0" applyNumberFormat="1" applyFont="1" applyFill="1" applyBorder="1" applyAlignment="1">
      <alignment horizontal="right"/>
    </xf>
    <xf numFmtId="164" fontId="5" fillId="5" borderId="28" xfId="0" applyNumberFormat="1" applyFont="1" applyFill="1" applyBorder="1" applyAlignment="1">
      <alignment horizontal="right"/>
    </xf>
    <xf numFmtId="164" fontId="5" fillId="5" borderId="37" xfId="0" applyNumberFormat="1" applyFont="1" applyFill="1" applyBorder="1" applyAlignment="1">
      <alignment horizontal="right"/>
    </xf>
    <xf numFmtId="164" fontId="5" fillId="3" borderId="28" xfId="0" applyNumberFormat="1" applyFont="1" applyFill="1" applyBorder="1" applyAlignment="1">
      <alignment horizontal="right"/>
    </xf>
    <xf numFmtId="164" fontId="5" fillId="3" borderId="37" xfId="0" applyNumberFormat="1" applyFont="1" applyFill="1" applyBorder="1" applyAlignment="1">
      <alignment horizontal="right"/>
    </xf>
    <xf numFmtId="164" fontId="5" fillId="6" borderId="20" xfId="0" applyNumberFormat="1" applyFont="1" applyFill="1" applyBorder="1" applyAlignment="1">
      <alignment horizontal="right"/>
    </xf>
    <xf numFmtId="164" fontId="5" fillId="6" borderId="35" xfId="0" applyNumberFormat="1" applyFont="1" applyFill="1" applyBorder="1" applyAlignment="1">
      <alignment horizontal="right"/>
    </xf>
    <xf numFmtId="164" fontId="5" fillId="8" borderId="24" xfId="0" applyNumberFormat="1" applyFont="1" applyFill="1" applyBorder="1" applyAlignment="1">
      <alignment horizontal="right"/>
    </xf>
    <xf numFmtId="164" fontId="5" fillId="8" borderId="26" xfId="0" applyNumberFormat="1" applyFont="1" applyFill="1" applyBorder="1" applyAlignment="1">
      <alignment horizontal="right"/>
    </xf>
    <xf numFmtId="164" fontId="5" fillId="6" borderId="29" xfId="0" applyNumberFormat="1" applyFont="1" applyFill="1" applyBorder="1" applyAlignment="1">
      <alignment horizontal="right"/>
    </xf>
    <xf numFmtId="164" fontId="5" fillId="6" borderId="30" xfId="0" applyNumberFormat="1" applyFont="1" applyFill="1" applyBorder="1" applyAlignment="1">
      <alignment horizontal="right"/>
    </xf>
    <xf numFmtId="164" fontId="5" fillId="5" borderId="41" xfId="0" applyNumberFormat="1" applyFont="1" applyFill="1" applyBorder="1" applyAlignment="1">
      <alignment horizontal="right"/>
    </xf>
    <xf numFmtId="0" fontId="47" fillId="8" borderId="0" xfId="0" applyFont="1" applyFill="1" applyBorder="1" applyAlignment="1">
      <alignment horizontal="left" vertical="center" wrapText="1"/>
    </xf>
    <xf numFmtId="164" fontId="47" fillId="8" borderId="0" xfId="0" applyNumberFormat="1" applyFont="1" applyFill="1" applyBorder="1" applyAlignment="1">
      <alignment horizontal="right"/>
    </xf>
    <xf numFmtId="0" fontId="17" fillId="0" borderId="43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6" borderId="39" xfId="0" applyFont="1" applyFill="1" applyBorder="1" applyAlignment="1">
      <alignment horizontal="left" vertical="center" wrapText="1"/>
    </xf>
    <xf numFmtId="0" fontId="5" fillId="6" borderId="40" xfId="0" applyFont="1" applyFill="1" applyBorder="1" applyAlignment="1">
      <alignment horizontal="left" vertical="center" wrapText="1"/>
    </xf>
    <xf numFmtId="0" fontId="5" fillId="6" borderId="41" xfId="0" applyFont="1" applyFill="1" applyBorder="1" applyAlignment="1">
      <alignment horizontal="left" vertical="center" wrapText="1"/>
    </xf>
    <xf numFmtId="0" fontId="15" fillId="15" borderId="1" xfId="0" applyFont="1" applyFill="1" applyBorder="1" applyAlignment="1">
      <alignment horizontal="center" vertical="center"/>
    </xf>
    <xf numFmtId="0" fontId="15" fillId="15" borderId="2" xfId="0" applyFont="1" applyFill="1" applyBorder="1" applyAlignment="1">
      <alignment horizontal="center" vertical="center"/>
    </xf>
    <xf numFmtId="0" fontId="15" fillId="15" borderId="3" xfId="0" applyFont="1" applyFill="1" applyBorder="1" applyAlignment="1">
      <alignment horizontal="center" vertical="center"/>
    </xf>
    <xf numFmtId="0" fontId="15" fillId="15" borderId="6" xfId="0" applyFont="1" applyFill="1" applyBorder="1" applyAlignment="1">
      <alignment horizontal="center" vertical="center"/>
    </xf>
    <xf numFmtId="0" fontId="15" fillId="15" borderId="7" xfId="0" applyFont="1" applyFill="1" applyBorder="1" applyAlignment="1">
      <alignment horizontal="center" vertical="center"/>
    </xf>
    <xf numFmtId="0" fontId="15" fillId="15" borderId="8" xfId="0" applyFont="1" applyFill="1" applyBorder="1" applyAlignment="1">
      <alignment horizontal="center" vertical="center"/>
    </xf>
    <xf numFmtId="0" fontId="5" fillId="8" borderId="26" xfId="0" applyFont="1" applyFill="1" applyBorder="1" applyAlignment="1">
      <alignment horizontal="right" vertical="center" wrapText="1"/>
    </xf>
    <xf numFmtId="0" fontId="5" fillId="3" borderId="37" xfId="0" applyFont="1" applyFill="1" applyBorder="1" applyAlignment="1">
      <alignment horizontal="left" vertical="center" wrapText="1"/>
    </xf>
    <xf numFmtId="164" fontId="5" fillId="3" borderId="41" xfId="0" applyNumberFormat="1" applyFont="1" applyFill="1" applyBorder="1" applyAlignment="1">
      <alignment horizontal="right"/>
    </xf>
    <xf numFmtId="164" fontId="4" fillId="8" borderId="0" xfId="0" applyNumberFormat="1" applyFont="1" applyFill="1" applyBorder="1" applyAlignment="1">
      <alignment horizontal="center" vertical="center" wrapText="1"/>
    </xf>
    <xf numFmtId="164" fontId="5" fillId="8" borderId="36" xfId="0" applyNumberFormat="1" applyFont="1" applyFill="1" applyBorder="1" applyAlignment="1">
      <alignment horizontal="right"/>
    </xf>
    <xf numFmtId="0" fontId="5" fillId="3" borderId="35" xfId="0" applyFont="1" applyFill="1" applyBorder="1" applyAlignment="1">
      <alignment horizontal="left" vertical="center" wrapText="1"/>
    </xf>
    <xf numFmtId="164" fontId="5" fillId="3" borderId="34" xfId="0" applyNumberFormat="1" applyFont="1" applyFill="1" applyBorder="1" applyAlignment="1">
      <alignment horizontal="right"/>
    </xf>
    <xf numFmtId="0" fontId="39" fillId="8" borderId="0" xfId="0" applyFont="1" applyFill="1" applyBorder="1" applyAlignment="1">
      <alignment horizontal="left" vertical="center" wrapText="1"/>
    </xf>
    <xf numFmtId="164" fontId="39" fillId="8" borderId="0" xfId="0" applyNumberFormat="1" applyFont="1" applyFill="1" applyBorder="1" applyAlignment="1">
      <alignment horizontal="right"/>
    </xf>
    <xf numFmtId="0" fontId="5" fillId="8" borderId="0" xfId="0" applyFont="1" applyFill="1" applyBorder="1" applyAlignment="1">
      <alignment horizontal="right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14" borderId="1" xfId="0" applyFont="1" applyFill="1" applyBorder="1" applyAlignment="1">
      <alignment horizontal="center" vertical="center"/>
    </xf>
    <xf numFmtId="0" fontId="4" fillId="14" borderId="2" xfId="0" applyFont="1" applyFill="1" applyBorder="1" applyAlignment="1">
      <alignment horizontal="center" vertical="center"/>
    </xf>
    <xf numFmtId="0" fontId="4" fillId="14" borderId="3" xfId="0" applyFont="1" applyFill="1" applyBorder="1" applyAlignment="1">
      <alignment horizontal="center" vertical="center"/>
    </xf>
    <xf numFmtId="0" fontId="4" fillId="14" borderId="6" xfId="0" applyFont="1" applyFill="1" applyBorder="1" applyAlignment="1">
      <alignment horizontal="center" vertical="center"/>
    </xf>
    <xf numFmtId="0" fontId="4" fillId="14" borderId="7" xfId="0" applyFont="1" applyFill="1" applyBorder="1" applyAlignment="1">
      <alignment horizontal="center" vertical="center"/>
    </xf>
    <xf numFmtId="0" fontId="4" fillId="14" borderId="8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 wrapText="1"/>
    </xf>
    <xf numFmtId="164" fontId="10" fillId="8" borderId="0" xfId="0" applyNumberFormat="1" applyFont="1" applyFill="1" applyBorder="1" applyAlignment="1">
      <alignment horizontal="right"/>
    </xf>
    <xf numFmtId="0" fontId="8" fillId="3" borderId="19" xfId="0" applyFont="1" applyFill="1" applyBorder="1" applyAlignment="1">
      <alignment horizontal="left" vertical="center" wrapText="1"/>
    </xf>
    <xf numFmtId="0" fontId="8" fillId="3" borderId="20" xfId="0" applyFont="1" applyFill="1" applyBorder="1" applyAlignment="1">
      <alignment horizontal="left" vertical="center" wrapText="1"/>
    </xf>
    <xf numFmtId="164" fontId="10" fillId="3" borderId="20" xfId="0" applyNumberFormat="1" applyFont="1" applyFill="1" applyBorder="1" applyAlignment="1">
      <alignment horizontal="right"/>
    </xf>
    <xf numFmtId="164" fontId="10" fillId="3" borderId="35" xfId="0" applyNumberFormat="1" applyFont="1" applyFill="1" applyBorder="1" applyAlignment="1">
      <alignment horizontal="right"/>
    </xf>
    <xf numFmtId="0" fontId="8" fillId="8" borderId="25" xfId="0" applyFont="1" applyFill="1" applyBorder="1" applyAlignment="1">
      <alignment horizontal="right" vertical="center" wrapText="1"/>
    </xf>
    <xf numFmtId="0" fontId="8" fillId="8" borderId="12" xfId="0" applyFont="1" applyFill="1" applyBorder="1" applyAlignment="1">
      <alignment horizontal="right" vertical="center" wrapText="1"/>
    </xf>
    <xf numFmtId="0" fontId="8" fillId="3" borderId="27" xfId="0" applyFont="1" applyFill="1" applyBorder="1" applyAlignment="1">
      <alignment horizontal="left" vertical="center" wrapText="1"/>
    </xf>
    <xf numFmtId="0" fontId="8" fillId="3" borderId="28" xfId="0" applyFont="1" applyFill="1" applyBorder="1" applyAlignment="1">
      <alignment horizontal="left" vertical="center" wrapText="1"/>
    </xf>
    <xf numFmtId="164" fontId="10" fillId="3" borderId="28" xfId="0" applyNumberFormat="1" applyFont="1" applyFill="1" applyBorder="1" applyAlignment="1">
      <alignment horizontal="right"/>
    </xf>
    <xf numFmtId="164" fontId="10" fillId="3" borderId="37" xfId="0" applyNumberFormat="1" applyFont="1" applyFill="1" applyBorder="1" applyAlignment="1">
      <alignment horizontal="right"/>
    </xf>
    <xf numFmtId="0" fontId="31" fillId="8" borderId="0" xfId="0" applyFont="1" applyFill="1" applyBorder="1" applyAlignment="1">
      <alignment horizontal="right"/>
    </xf>
    <xf numFmtId="164" fontId="31" fillId="8" borderId="0" xfId="0" applyNumberFormat="1" applyFont="1" applyFill="1" applyBorder="1" applyAlignment="1">
      <alignment horizontal="right"/>
    </xf>
    <xf numFmtId="0" fontId="8" fillId="5" borderId="19" xfId="0" applyFont="1" applyFill="1" applyBorder="1" applyAlignment="1">
      <alignment horizontal="left" vertical="center" wrapText="1"/>
    </xf>
    <xf numFmtId="0" fontId="8" fillId="5" borderId="20" xfId="0" applyFont="1" applyFill="1" applyBorder="1" applyAlignment="1">
      <alignment horizontal="left" vertical="center" wrapText="1"/>
    </xf>
    <xf numFmtId="164" fontId="10" fillId="5" borderId="20" xfId="0" applyNumberFormat="1" applyFont="1" applyFill="1" applyBorder="1" applyAlignment="1">
      <alignment horizontal="right"/>
    </xf>
    <xf numFmtId="164" fontId="10" fillId="5" borderId="35" xfId="0" applyNumberFormat="1" applyFont="1" applyFill="1" applyBorder="1" applyAlignment="1">
      <alignment horizontal="right"/>
    </xf>
    <xf numFmtId="0" fontId="8" fillId="5" borderId="27" xfId="0" applyFont="1" applyFill="1" applyBorder="1" applyAlignment="1">
      <alignment horizontal="left" vertical="center" wrapText="1"/>
    </xf>
    <xf numFmtId="0" fontId="8" fillId="5" borderId="28" xfId="0" applyFont="1" applyFill="1" applyBorder="1" applyAlignment="1">
      <alignment horizontal="left" vertical="center" wrapText="1"/>
    </xf>
    <xf numFmtId="164" fontId="10" fillId="5" borderId="28" xfId="0" applyNumberFormat="1" applyFont="1" applyFill="1" applyBorder="1" applyAlignment="1">
      <alignment horizontal="right"/>
    </xf>
    <xf numFmtId="164" fontId="10" fillId="5" borderId="37" xfId="0" applyNumberFormat="1" applyFont="1" applyFill="1" applyBorder="1" applyAlignment="1">
      <alignment horizontal="right"/>
    </xf>
    <xf numFmtId="164" fontId="10" fillId="18" borderId="28" xfId="0" applyNumberFormat="1" applyFont="1" applyFill="1" applyBorder="1" applyAlignment="1">
      <alignment horizontal="right"/>
    </xf>
    <xf numFmtId="164" fontId="10" fillId="18" borderId="37" xfId="0" applyNumberFormat="1" applyFont="1" applyFill="1" applyBorder="1" applyAlignment="1">
      <alignment horizontal="right"/>
    </xf>
    <xf numFmtId="164" fontId="10" fillId="8" borderId="12" xfId="0" applyNumberFormat="1" applyFont="1" applyFill="1" applyBorder="1" applyAlignment="1">
      <alignment horizontal="right"/>
    </xf>
    <xf numFmtId="164" fontId="10" fillId="8" borderId="42" xfId="0" applyNumberFormat="1" applyFont="1" applyFill="1" applyBorder="1" applyAlignment="1">
      <alignment horizontal="right"/>
    </xf>
    <xf numFmtId="0" fontId="4" fillId="5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center" vertical="center" wrapText="1"/>
    </xf>
    <xf numFmtId="164" fontId="4" fillId="5" borderId="2" xfId="0" applyNumberFormat="1" applyFont="1" applyFill="1" applyBorder="1" applyAlignment="1">
      <alignment horizontal="center" vertical="center" wrapText="1"/>
    </xf>
    <xf numFmtId="164" fontId="4" fillId="5" borderId="3" xfId="0" applyNumberFormat="1" applyFont="1" applyFill="1" applyBorder="1" applyAlignment="1">
      <alignment horizontal="center" vertical="center" wrapText="1"/>
    </xf>
    <xf numFmtId="0" fontId="4" fillId="17" borderId="7" xfId="0" applyFont="1" applyFill="1" applyBorder="1" applyAlignment="1">
      <alignment horizontal="center" vertical="center"/>
    </xf>
    <xf numFmtId="0" fontId="4" fillId="9" borderId="9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4" fillId="9" borderId="1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8" fillId="8" borderId="0" xfId="0" applyFont="1" applyFill="1" applyBorder="1" applyAlignment="1">
      <alignment horizontal="left" vertical="center" wrapText="1"/>
    </xf>
    <xf numFmtId="0" fontId="4" fillId="10" borderId="19" xfId="0" applyFont="1" applyFill="1" applyBorder="1" applyAlignment="1">
      <alignment horizontal="left" vertical="center" wrapText="1"/>
    </xf>
    <xf numFmtId="0" fontId="4" fillId="10" borderId="20" xfId="0" applyFont="1" applyFill="1" applyBorder="1" applyAlignment="1">
      <alignment horizontal="left" vertical="center" wrapText="1"/>
    </xf>
    <xf numFmtId="0" fontId="4" fillId="10" borderId="27" xfId="0" applyFont="1" applyFill="1" applyBorder="1" applyAlignment="1">
      <alignment horizontal="left" vertical="center" wrapText="1"/>
    </xf>
    <xf numFmtId="0" fontId="4" fillId="10" borderId="28" xfId="0" applyFont="1" applyFill="1" applyBorder="1" applyAlignment="1">
      <alignment horizontal="left" vertical="center" wrapText="1"/>
    </xf>
    <xf numFmtId="0" fontId="37" fillId="8" borderId="0" xfId="0" applyFont="1" applyFill="1" applyBorder="1" applyAlignment="1">
      <alignment horizontal="center" vertical="center" wrapText="1"/>
    </xf>
    <xf numFmtId="0" fontId="8" fillId="18" borderId="27" xfId="0" applyFont="1" applyFill="1" applyBorder="1" applyAlignment="1">
      <alignment horizontal="left" vertical="center" wrapText="1"/>
    </xf>
    <xf numFmtId="0" fontId="8" fillId="18" borderId="28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8" fillId="18" borderId="19" xfId="0" applyFont="1" applyFill="1" applyBorder="1" applyAlignment="1">
      <alignment horizontal="left" vertical="center" wrapText="1"/>
    </xf>
    <xf numFmtId="0" fontId="8" fillId="18" borderId="20" xfId="0" applyFont="1" applyFill="1" applyBorder="1" applyAlignment="1">
      <alignment horizontal="left" vertical="center" wrapText="1"/>
    </xf>
    <xf numFmtId="164" fontId="10" fillId="18" borderId="20" xfId="0" applyNumberFormat="1" applyFont="1" applyFill="1" applyBorder="1" applyAlignment="1">
      <alignment horizontal="right"/>
    </xf>
    <xf numFmtId="164" fontId="10" fillId="18" borderId="35" xfId="0" applyNumberFormat="1" applyFont="1" applyFill="1" applyBorder="1" applyAlignment="1">
      <alignment horizontal="right"/>
    </xf>
    <xf numFmtId="0" fontId="4" fillId="17" borderId="9" xfId="0" applyFont="1" applyFill="1" applyBorder="1" applyAlignment="1">
      <alignment horizontal="center" vertical="center"/>
    </xf>
    <xf numFmtId="0" fontId="4" fillId="17" borderId="10" xfId="0" applyFont="1" applyFill="1" applyBorder="1" applyAlignment="1">
      <alignment horizontal="center" vertical="center"/>
    </xf>
    <xf numFmtId="0" fontId="4" fillId="17" borderId="11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4" fillId="11" borderId="2" xfId="0" applyFont="1" applyFill="1" applyBorder="1" applyAlignment="1">
      <alignment horizontal="center" vertical="center"/>
    </xf>
    <xf numFmtId="0" fontId="4" fillId="11" borderId="3" xfId="0" applyFont="1" applyFill="1" applyBorder="1" applyAlignment="1">
      <alignment horizontal="center" vertical="center"/>
    </xf>
    <xf numFmtId="0" fontId="35" fillId="8" borderId="0" xfId="0" applyFont="1" applyFill="1" applyBorder="1" applyAlignment="1">
      <alignment horizontal="center" vertical="center" wrapText="1"/>
    </xf>
    <xf numFmtId="0" fontId="4" fillId="18" borderId="19" xfId="0" applyFont="1" applyFill="1" applyBorder="1" applyAlignment="1">
      <alignment horizontal="left" vertical="center" wrapText="1"/>
    </xf>
    <xf numFmtId="0" fontId="4" fillId="18" borderId="20" xfId="0" applyFont="1" applyFill="1" applyBorder="1" applyAlignment="1">
      <alignment horizontal="left" vertical="center" wrapText="1"/>
    </xf>
    <xf numFmtId="0" fontId="4" fillId="18" borderId="25" xfId="0" applyFont="1" applyFill="1" applyBorder="1" applyAlignment="1">
      <alignment horizontal="right" vertical="center" wrapText="1"/>
    </xf>
    <xf numFmtId="0" fontId="4" fillId="18" borderId="12" xfId="0" applyFont="1" applyFill="1" applyBorder="1" applyAlignment="1">
      <alignment horizontal="right" vertical="center" wrapText="1"/>
    </xf>
    <xf numFmtId="0" fontId="8" fillId="0" borderId="4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right" vertical="center" wrapText="1"/>
    </xf>
    <xf numFmtId="0" fontId="10" fillId="0" borderId="36" xfId="0" applyFont="1" applyFill="1" applyBorder="1" applyAlignment="1">
      <alignment horizontal="right" vertical="center" wrapText="1"/>
    </xf>
    <xf numFmtId="0" fontId="10" fillId="0" borderId="31" xfId="0" applyFont="1" applyFill="1" applyBorder="1" applyAlignment="1">
      <alignment horizontal="right" vertical="center" wrapText="1"/>
    </xf>
    <xf numFmtId="0" fontId="10" fillId="18" borderId="39" xfId="0" applyFont="1" applyFill="1" applyBorder="1" applyAlignment="1">
      <alignment horizontal="left" vertical="center" wrapText="1"/>
    </xf>
    <xf numFmtId="0" fontId="10" fillId="18" borderId="40" xfId="0" applyFont="1" applyFill="1" applyBorder="1" applyAlignment="1">
      <alignment horizontal="left" vertical="center" wrapText="1"/>
    </xf>
    <xf numFmtId="0" fontId="10" fillId="18" borderId="41" xfId="0" applyFont="1" applyFill="1" applyBorder="1" applyAlignment="1">
      <alignment horizontal="left" vertical="center" wrapText="1"/>
    </xf>
    <xf numFmtId="164" fontId="10" fillId="18" borderId="29" xfId="0" applyNumberFormat="1" applyFont="1" applyFill="1" applyBorder="1" applyAlignment="1">
      <alignment horizontal="right"/>
    </xf>
    <xf numFmtId="164" fontId="10" fillId="18" borderId="30" xfId="0" applyNumberFormat="1" applyFont="1" applyFill="1" applyBorder="1" applyAlignment="1">
      <alignment horizontal="right"/>
    </xf>
    <xf numFmtId="0" fontId="15" fillId="14" borderId="1" xfId="0" applyFont="1" applyFill="1" applyBorder="1" applyAlignment="1">
      <alignment horizontal="center" vertical="center"/>
    </xf>
    <xf numFmtId="0" fontId="15" fillId="14" borderId="2" xfId="0" applyFont="1" applyFill="1" applyBorder="1" applyAlignment="1">
      <alignment horizontal="center" vertical="center"/>
    </xf>
    <xf numFmtId="0" fontId="15" fillId="14" borderId="3" xfId="0" applyFont="1" applyFill="1" applyBorder="1" applyAlignment="1">
      <alignment horizontal="center" vertical="center"/>
    </xf>
    <xf numFmtId="0" fontId="15" fillId="14" borderId="6" xfId="0" applyFont="1" applyFill="1" applyBorder="1" applyAlignment="1">
      <alignment horizontal="center" vertical="center"/>
    </xf>
    <xf numFmtId="0" fontId="15" fillId="14" borderId="7" xfId="0" applyFont="1" applyFill="1" applyBorder="1" applyAlignment="1">
      <alignment horizontal="center" vertical="center"/>
    </xf>
    <xf numFmtId="0" fontId="15" fillId="14" borderId="8" xfId="0" applyFont="1" applyFill="1" applyBorder="1" applyAlignment="1">
      <alignment horizontal="center" vertical="center"/>
    </xf>
    <xf numFmtId="0" fontId="45" fillId="8" borderId="0" xfId="0" applyFont="1" applyFill="1" applyBorder="1" applyAlignment="1">
      <alignment horizontal="right"/>
    </xf>
    <xf numFmtId="0" fontId="10" fillId="3" borderId="19" xfId="0" applyFont="1" applyFill="1" applyBorder="1" applyAlignment="1">
      <alignment horizontal="left" vertical="center" wrapText="1"/>
    </xf>
    <xf numFmtId="0" fontId="10" fillId="3" borderId="20" xfId="0" applyFont="1" applyFill="1" applyBorder="1" applyAlignment="1">
      <alignment horizontal="left" vertical="center" wrapText="1"/>
    </xf>
    <xf numFmtId="0" fontId="10" fillId="3" borderId="27" xfId="0" applyFont="1" applyFill="1" applyBorder="1" applyAlignment="1">
      <alignment horizontal="left" vertical="center" wrapText="1"/>
    </xf>
    <xf numFmtId="0" fontId="10" fillId="3" borderId="28" xfId="0" applyFont="1" applyFill="1" applyBorder="1" applyAlignment="1">
      <alignment horizontal="left" vertical="center" wrapText="1"/>
    </xf>
    <xf numFmtId="0" fontId="10" fillId="18" borderId="19" xfId="0" applyFont="1" applyFill="1" applyBorder="1" applyAlignment="1">
      <alignment horizontal="left" vertical="center" wrapText="1"/>
    </xf>
    <xf numFmtId="0" fontId="10" fillId="18" borderId="20" xfId="0" applyFont="1" applyFill="1" applyBorder="1" applyAlignment="1">
      <alignment horizontal="left" vertical="center" wrapText="1"/>
    </xf>
    <xf numFmtId="164" fontId="10" fillId="0" borderId="24" xfId="0" applyNumberFormat="1" applyFont="1" applyBorder="1" applyAlignment="1">
      <alignment horizontal="right"/>
    </xf>
    <xf numFmtId="164" fontId="10" fillId="0" borderId="26" xfId="0" applyNumberFormat="1" applyFont="1" applyBorder="1" applyAlignment="1">
      <alignment horizontal="right"/>
    </xf>
    <xf numFmtId="0" fontId="28" fillId="0" borderId="0" xfId="0" applyFont="1" applyBorder="1" applyAlignment="1">
      <alignment horizontal="right"/>
    </xf>
    <xf numFmtId="0" fontId="10" fillId="5" borderId="32" xfId="0" applyFont="1" applyFill="1" applyBorder="1" applyAlignment="1">
      <alignment horizontal="left" vertical="center" wrapText="1"/>
    </xf>
    <xf numFmtId="0" fontId="10" fillId="5" borderId="33" xfId="0" applyFont="1" applyFill="1" applyBorder="1" applyAlignment="1">
      <alignment horizontal="left" vertical="center" wrapText="1"/>
    </xf>
    <xf numFmtId="0" fontId="10" fillId="5" borderId="34" xfId="0" applyFont="1" applyFill="1" applyBorder="1" applyAlignment="1">
      <alignment horizontal="left" vertical="center" wrapText="1"/>
    </xf>
    <xf numFmtId="0" fontId="10" fillId="0" borderId="25" xfId="0" applyFont="1" applyFill="1" applyBorder="1" applyAlignment="1">
      <alignment horizontal="right" vertical="center" wrapText="1"/>
    </xf>
    <xf numFmtId="0" fontId="10" fillId="0" borderId="12" xfId="0" applyFont="1" applyFill="1" applyBorder="1" applyAlignment="1">
      <alignment horizontal="right" vertical="center" wrapText="1"/>
    </xf>
    <xf numFmtId="0" fontId="10" fillId="5" borderId="27" xfId="0" applyFont="1" applyFill="1" applyBorder="1" applyAlignment="1">
      <alignment horizontal="left" vertical="center" wrapText="1"/>
    </xf>
    <xf numFmtId="0" fontId="10" fillId="5" borderId="28" xfId="0" applyFont="1" applyFill="1" applyBorder="1" applyAlignment="1">
      <alignment horizontal="left" vertical="center" wrapText="1"/>
    </xf>
    <xf numFmtId="0" fontId="15" fillId="11" borderId="1" xfId="0" applyFont="1" applyFill="1" applyBorder="1" applyAlignment="1">
      <alignment horizontal="center" vertical="center"/>
    </xf>
    <xf numFmtId="0" fontId="15" fillId="11" borderId="2" xfId="0" applyFont="1" applyFill="1" applyBorder="1" applyAlignment="1">
      <alignment horizontal="center" vertical="center"/>
    </xf>
    <xf numFmtId="0" fontId="15" fillId="11" borderId="3" xfId="0" applyFont="1" applyFill="1" applyBorder="1" applyAlignment="1">
      <alignment horizontal="center" vertical="center"/>
    </xf>
    <xf numFmtId="0" fontId="15" fillId="11" borderId="6" xfId="0" applyFont="1" applyFill="1" applyBorder="1" applyAlignment="1">
      <alignment horizontal="center" vertical="center"/>
    </xf>
    <xf numFmtId="0" fontId="15" fillId="11" borderId="7" xfId="0" applyFont="1" applyFill="1" applyBorder="1" applyAlignment="1">
      <alignment horizontal="center" vertical="center"/>
    </xf>
    <xf numFmtId="0" fontId="15" fillId="11" borderId="8" xfId="0" applyFont="1" applyFill="1" applyBorder="1" applyAlignment="1">
      <alignment horizontal="center" vertical="center"/>
    </xf>
    <xf numFmtId="0" fontId="9" fillId="0" borderId="45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8" borderId="25" xfId="0" applyFont="1" applyFill="1" applyBorder="1" applyAlignment="1">
      <alignment horizontal="right" vertical="center" wrapText="1"/>
    </xf>
    <xf numFmtId="0" fontId="10" fillId="8" borderId="12" xfId="0" applyFont="1" applyFill="1" applyBorder="1" applyAlignment="1">
      <alignment horizontal="right" vertical="center" wrapText="1"/>
    </xf>
    <xf numFmtId="164" fontId="10" fillId="8" borderId="28" xfId="0" applyNumberFormat="1" applyFont="1" applyFill="1" applyBorder="1" applyAlignment="1">
      <alignment horizontal="right"/>
    </xf>
    <xf numFmtId="164" fontId="10" fillId="8" borderId="37" xfId="0" applyNumberFormat="1" applyFont="1" applyFill="1" applyBorder="1" applyAlignment="1">
      <alignment horizontal="right"/>
    </xf>
    <xf numFmtId="0" fontId="10" fillId="5" borderId="19" xfId="0" applyFont="1" applyFill="1" applyBorder="1" applyAlignment="1">
      <alignment horizontal="left" vertical="center" wrapText="1"/>
    </xf>
    <xf numFmtId="0" fontId="10" fillId="5" borderId="20" xfId="0" applyFont="1" applyFill="1" applyBorder="1" applyAlignment="1">
      <alignment horizontal="left" vertical="center" wrapText="1"/>
    </xf>
    <xf numFmtId="164" fontId="10" fillId="8" borderId="20" xfId="0" applyNumberFormat="1" applyFont="1" applyFill="1" applyBorder="1" applyAlignment="1">
      <alignment horizontal="right"/>
    </xf>
    <xf numFmtId="164" fontId="10" fillId="8" borderId="35" xfId="0" applyNumberFormat="1" applyFont="1" applyFill="1" applyBorder="1" applyAlignment="1">
      <alignment horizontal="right"/>
    </xf>
    <xf numFmtId="0" fontId="10" fillId="8" borderId="0" xfId="0" applyFont="1" applyFill="1" applyBorder="1" applyAlignment="1">
      <alignment horizontal="left" vertical="center" wrapText="1"/>
    </xf>
    <xf numFmtId="0" fontId="10" fillId="18" borderId="27" xfId="0" applyFont="1" applyFill="1" applyBorder="1" applyAlignment="1">
      <alignment horizontal="left" vertical="center" wrapText="1"/>
    </xf>
    <xf numFmtId="0" fontId="10" fillId="18" borderId="28" xfId="0" applyFont="1" applyFill="1" applyBorder="1" applyAlignment="1">
      <alignment horizontal="left" vertical="center" wrapText="1"/>
    </xf>
    <xf numFmtId="0" fontId="10" fillId="18" borderId="25" xfId="0" applyFont="1" applyFill="1" applyBorder="1" applyAlignment="1">
      <alignment horizontal="right" vertical="center" wrapText="1"/>
    </xf>
    <xf numFmtId="0" fontId="10" fillId="18" borderId="12" xfId="0" applyFont="1" applyFill="1" applyBorder="1" applyAlignment="1">
      <alignment horizontal="right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164" fontId="15" fillId="5" borderId="1" xfId="0" applyNumberFormat="1" applyFont="1" applyFill="1" applyBorder="1" applyAlignment="1">
      <alignment horizontal="center" vertical="center" wrapText="1"/>
    </xf>
    <xf numFmtId="164" fontId="15" fillId="5" borderId="2" xfId="0" applyNumberFormat="1" applyFont="1" applyFill="1" applyBorder="1" applyAlignment="1">
      <alignment horizontal="center" vertical="center" wrapText="1"/>
    </xf>
    <xf numFmtId="164" fontId="15" fillId="5" borderId="3" xfId="0" applyNumberFormat="1" applyFont="1" applyFill="1" applyBorder="1" applyAlignment="1">
      <alignment horizontal="center" vertical="center" wrapText="1"/>
    </xf>
    <xf numFmtId="0" fontId="19" fillId="8" borderId="0" xfId="0" applyFont="1" applyFill="1" applyBorder="1" applyAlignment="1">
      <alignment horizontal="right"/>
    </xf>
    <xf numFmtId="164" fontId="28" fillId="8" borderId="0" xfId="0" applyNumberFormat="1" applyFont="1" applyFill="1" applyBorder="1" applyAlignment="1">
      <alignment horizontal="right"/>
    </xf>
    <xf numFmtId="0" fontId="28" fillId="8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left" vertical="center" wrapText="1"/>
    </xf>
    <xf numFmtId="164" fontId="10" fillId="0" borderId="0" xfId="0" applyNumberFormat="1" applyFont="1" applyFill="1" applyBorder="1" applyAlignment="1">
      <alignment horizontal="right"/>
    </xf>
  </cellXfs>
  <cellStyles count="1">
    <cellStyle name="Normal" xfId="0" builtinId="0"/>
  </cellStyles>
  <dxfs count="2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auto="1"/>
      </font>
    </dxf>
  </dxfs>
  <tableStyles count="0" defaultTableStyle="TableStyleMedium2" defaultPivotStyle="PivotStyleLight16"/>
  <colors>
    <mruColors>
      <color rgb="FFFF99FF"/>
      <color rgb="FFFAF6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1515709</xdr:colOff>
      <xdr:row>3</xdr:row>
      <xdr:rowOff>812211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12534" cy="1423148"/>
        </a:xfrm>
        <a:prstGeom prst="rect">
          <a:avLst/>
        </a:prstGeom>
      </xdr:spPr>
    </xdr:pic>
    <xdr:clientData/>
  </xdr:twoCellAnchor>
  <xdr:twoCellAnchor>
    <xdr:from>
      <xdr:col>0</xdr:col>
      <xdr:colOff>2107229</xdr:colOff>
      <xdr:row>21</xdr:row>
      <xdr:rowOff>326132</xdr:rowOff>
    </xdr:from>
    <xdr:to>
      <xdr:col>0</xdr:col>
      <xdr:colOff>2436488</xdr:colOff>
      <xdr:row>21</xdr:row>
      <xdr:rowOff>561317</xdr:rowOff>
    </xdr:to>
    <xdr:sp macro="" textlink="">
      <xdr:nvSpPr>
        <xdr:cNvPr id="2" name="Flèche droi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107229" y="7231757"/>
          <a:ext cx="329259" cy="235185"/>
        </a:xfrm>
        <a:prstGeom prst="rightArrow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49162</xdr:colOff>
      <xdr:row>0</xdr:row>
      <xdr:rowOff>208936</xdr:rowOff>
    </xdr:from>
    <xdr:to>
      <xdr:col>34</xdr:col>
      <xdr:colOff>539545</xdr:colOff>
      <xdr:row>12</xdr:row>
      <xdr:rowOff>151581</xdr:rowOff>
    </xdr:to>
    <xdr:sp macro="" textlink="">
      <xdr:nvSpPr>
        <xdr:cNvPr id="2" name="Flèche vers le bas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8402936" y="208936"/>
          <a:ext cx="8122674" cy="39370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25</xdr:col>
      <xdr:colOff>503904</xdr:colOff>
      <xdr:row>13</xdr:row>
      <xdr:rowOff>208936</xdr:rowOff>
    </xdr:from>
    <xdr:to>
      <xdr:col>35</xdr:col>
      <xdr:colOff>146255</xdr:colOff>
      <xdr:row>25</xdr:row>
      <xdr:rowOff>200742</xdr:rowOff>
    </xdr:to>
    <xdr:sp macro="" textlink="">
      <xdr:nvSpPr>
        <xdr:cNvPr id="3" name="Flèche vers le bas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8857678" y="4608871"/>
          <a:ext cx="8122674" cy="39370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508000</xdr:colOff>
      <xdr:row>0</xdr:row>
      <xdr:rowOff>139700</xdr:rowOff>
    </xdr:from>
    <xdr:to>
      <xdr:col>26</xdr:col>
      <xdr:colOff>292100</xdr:colOff>
      <xdr:row>12</xdr:row>
      <xdr:rowOff>127000</xdr:rowOff>
    </xdr:to>
    <xdr:sp macro="" textlink="">
      <xdr:nvSpPr>
        <xdr:cNvPr id="2" name="Flèche vers le bas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1526500" y="139700"/>
          <a:ext cx="1485900" cy="39370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20</xdr:col>
      <xdr:colOff>520700</xdr:colOff>
      <xdr:row>13</xdr:row>
      <xdr:rowOff>215900</xdr:rowOff>
    </xdr:from>
    <xdr:to>
      <xdr:col>26</xdr:col>
      <xdr:colOff>304800</xdr:colOff>
      <xdr:row>25</xdr:row>
      <xdr:rowOff>304800</xdr:rowOff>
    </xdr:to>
    <xdr:sp macro="" textlink="">
      <xdr:nvSpPr>
        <xdr:cNvPr id="3" name="Flèche vers le bas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21539200" y="4495800"/>
          <a:ext cx="1485900" cy="39370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392906</xdr:colOff>
      <xdr:row>15</xdr:row>
      <xdr:rowOff>0</xdr:rowOff>
    </xdr:from>
    <xdr:to>
      <xdr:col>26</xdr:col>
      <xdr:colOff>330994</xdr:colOff>
      <xdr:row>30</xdr:row>
      <xdr:rowOff>91281</xdr:rowOff>
    </xdr:to>
    <xdr:sp macro="" textlink="">
      <xdr:nvSpPr>
        <xdr:cNvPr id="2" name="Flèche vers le bas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8752344" y="4298156"/>
          <a:ext cx="1485900" cy="39370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20</xdr:col>
      <xdr:colOff>378619</xdr:colOff>
      <xdr:row>0</xdr:row>
      <xdr:rowOff>0</xdr:rowOff>
    </xdr:from>
    <xdr:to>
      <xdr:col>26</xdr:col>
      <xdr:colOff>316707</xdr:colOff>
      <xdr:row>13</xdr:row>
      <xdr:rowOff>257969</xdr:rowOff>
    </xdr:to>
    <xdr:sp macro="" textlink="">
      <xdr:nvSpPr>
        <xdr:cNvPr id="3" name="Flèche vers le bas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8744010" y="0"/>
          <a:ext cx="1485900" cy="3948907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69273</xdr:colOff>
      <xdr:row>13</xdr:row>
      <xdr:rowOff>55418</xdr:rowOff>
    </xdr:from>
    <xdr:to>
      <xdr:col>25</xdr:col>
      <xdr:colOff>696192</xdr:colOff>
      <xdr:row>25</xdr:row>
      <xdr:rowOff>237837</xdr:rowOff>
    </xdr:to>
    <xdr:sp macro="" textlink="">
      <xdr:nvSpPr>
        <xdr:cNvPr id="2" name="Flèche vers le bas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9936691" y="4807527"/>
          <a:ext cx="1485901" cy="425565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21</xdr:col>
      <xdr:colOff>1</xdr:colOff>
      <xdr:row>0</xdr:row>
      <xdr:rowOff>41563</xdr:rowOff>
    </xdr:from>
    <xdr:to>
      <xdr:col>25</xdr:col>
      <xdr:colOff>626920</xdr:colOff>
      <xdr:row>11</xdr:row>
      <xdr:rowOff>293254</xdr:rowOff>
    </xdr:to>
    <xdr:sp macro="" textlink="">
      <xdr:nvSpPr>
        <xdr:cNvPr id="3" name="Flèche vers le bas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9867419" y="41563"/>
          <a:ext cx="1485901" cy="425565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Brin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rin">
      <a:maj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Brin">
      <a:fillStyleLst>
        <a:solidFill>
          <a:schemeClr val="phClr"/>
        </a:solidFill>
        <a:solidFill>
          <a:schemeClr val="phClr">
            <a:tint val="70000"/>
            <a:lumMod val="104000"/>
          </a:schemeClr>
        </a:solidFill>
        <a:gradFill rotWithShape="1">
          <a:gsLst>
            <a:gs pos="0">
              <a:schemeClr val="phClr">
                <a:tint val="96000"/>
                <a:lumMod val="104000"/>
              </a:schemeClr>
            </a:gs>
            <a:gs pos="100000">
              <a:schemeClr val="phClr">
                <a:shade val="98000"/>
                <a:lumMod val="9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>
              <a:shade val="90000"/>
            </a:schemeClr>
          </a:solidFill>
          <a:prstDash val="solid"/>
        </a:ln>
        <a:ln w="15875" cap="rnd" cmpd="sng" algn="ctr">
          <a:solidFill>
            <a:schemeClr val="phClr"/>
          </a:solidFill>
          <a:prstDash val="solid"/>
        </a:ln>
        <a:ln w="2222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2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20000"/>
              </a:schemeClr>
            </a:gs>
            <a:gs pos="100000">
              <a:schemeClr val="phClr">
                <a:shade val="98000"/>
                <a:satMod val="120000"/>
                <a:lumMod val="98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satMod val="92000"/>
                <a:lumMod val="120000"/>
              </a:schemeClr>
            </a:gs>
            <a:gs pos="100000">
              <a:schemeClr val="phClr">
                <a:shade val="98000"/>
                <a:satMod val="120000"/>
                <a:lumMod val="98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Wisp" id="{7CB32D59-10C0-40DD-B7BD-2E94284A981C}" vid="{24B1A44C-C006-48B2-A4D7-E5549B3D8CD4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rgb="FFC00000"/>
  </sheetPr>
  <dimension ref="A1:AW85"/>
  <sheetViews>
    <sheetView tabSelected="1" topLeftCell="A5" zoomScale="76" zoomScaleNormal="76" workbookViewId="0">
      <selection activeCell="C17" sqref="C17"/>
    </sheetView>
  </sheetViews>
  <sheetFormatPr baseColWidth="10" defaultRowHeight="13.5" x14ac:dyDescent="0.25"/>
  <cols>
    <col min="1" max="1" width="34.25" style="342" customWidth="1"/>
    <col min="2" max="2" width="24.75" style="342" customWidth="1"/>
    <col min="3" max="3" width="11.25" style="342" customWidth="1"/>
    <col min="4" max="4" width="18.25" style="342" customWidth="1"/>
    <col min="5" max="5" width="30" style="342" customWidth="1"/>
    <col min="6" max="6" width="11.25" style="342" customWidth="1"/>
    <col min="7" max="7" width="13.83203125" style="342" customWidth="1"/>
    <col min="8" max="8" width="14.25" style="342" customWidth="1"/>
    <col min="9" max="9" width="15.58203125" style="342" hidden="1" customWidth="1"/>
    <col min="10" max="10" width="22.08203125" style="342" customWidth="1"/>
    <col min="11" max="11" width="5.58203125" style="342" customWidth="1"/>
    <col min="12" max="12" width="13.25" style="342" customWidth="1"/>
    <col min="13" max="13" width="61.58203125" style="342" hidden="1" customWidth="1"/>
    <col min="14" max="14" width="7.83203125" style="342" hidden="1" customWidth="1"/>
    <col min="15" max="15" width="19.25" style="343" hidden="1" customWidth="1"/>
    <col min="16" max="16" width="7.58203125" style="344" customWidth="1"/>
    <col min="17" max="49" width="10.33203125" style="345"/>
    <col min="50" max="114" width="10.33203125" style="342"/>
    <col min="115" max="115" width="3.83203125" style="342" customWidth="1"/>
    <col min="116" max="116" width="18.58203125" style="342" customWidth="1"/>
    <col min="117" max="117" width="19.75" style="342" customWidth="1"/>
    <col min="118" max="118" width="8" style="342" customWidth="1"/>
    <col min="119" max="119" width="2.75" style="342" bestFit="1" customWidth="1"/>
    <col min="120" max="121" width="6.25" style="342" bestFit="1" customWidth="1"/>
    <col min="122" max="122" width="18.83203125" style="342" bestFit="1" customWidth="1"/>
    <col min="123" max="123" width="6.83203125" style="342" bestFit="1" customWidth="1"/>
    <col min="124" max="124" width="3.25" style="342" customWidth="1"/>
    <col min="125" max="125" width="7.5" style="342" customWidth="1"/>
    <col min="126" max="126" width="2.75" style="342" bestFit="1" customWidth="1"/>
    <col min="127" max="128" width="6.25" style="342" customWidth="1"/>
    <col min="129" max="129" width="4.5" style="342" bestFit="1" customWidth="1"/>
    <col min="130" max="130" width="11.25" style="342" customWidth="1"/>
    <col min="131" max="149" width="10.33203125" style="342" customWidth="1"/>
    <col min="150" max="150" width="27.08203125" style="342" customWidth="1"/>
    <col min="151" max="151" width="13.5" style="342" customWidth="1"/>
    <col min="152" max="152" width="12.58203125" style="342" customWidth="1"/>
    <col min="153" max="153" width="12.75" style="342" customWidth="1"/>
    <col min="154" max="154" width="14.08203125" style="342" customWidth="1"/>
    <col min="155" max="155" width="13.75" style="342" customWidth="1"/>
    <col min="156" max="156" width="9" style="342" customWidth="1"/>
    <col min="157" max="157" width="4.5" style="342" customWidth="1"/>
    <col min="158" max="160" width="10.33203125" style="342" customWidth="1"/>
    <col min="161" max="161" width="6.83203125" style="342" customWidth="1"/>
    <col min="162" max="181" width="10.33203125" style="342" customWidth="1"/>
    <col min="182" max="182" width="27.08203125" style="342" customWidth="1"/>
    <col min="183" max="183" width="13.5" style="342" customWidth="1"/>
    <col min="184" max="184" width="12.58203125" style="342" customWidth="1"/>
    <col min="185" max="185" width="12.75" style="342" customWidth="1"/>
    <col min="186" max="186" width="14.08203125" style="342" customWidth="1"/>
    <col min="187" max="187" width="13.75" style="342" customWidth="1"/>
    <col min="188" max="188" width="9" style="342" customWidth="1"/>
    <col min="189" max="189" width="4.5" style="342" customWidth="1"/>
    <col min="190" max="192" width="10.33203125" style="342" customWidth="1"/>
    <col min="193" max="193" width="6.25" style="342" customWidth="1"/>
    <col min="194" max="194" width="27.08203125" style="342" customWidth="1"/>
    <col min="195" max="195" width="13.5" style="342" customWidth="1"/>
    <col min="196" max="196" width="12.58203125" style="342" customWidth="1"/>
    <col min="197" max="197" width="17.08203125" style="342" customWidth="1"/>
    <col min="198" max="198" width="14.08203125" style="342" customWidth="1"/>
    <col min="199" max="199" width="13.75" style="342" customWidth="1"/>
    <col min="200" max="200" width="9" style="342" customWidth="1"/>
    <col min="201" max="202" width="4.5" style="342" customWidth="1"/>
    <col min="203" max="206" width="10.33203125" style="342" customWidth="1"/>
    <col min="207" max="207" width="27.08203125" style="342" customWidth="1"/>
    <col min="208" max="208" width="13.5" style="342" customWidth="1"/>
    <col min="209" max="209" width="12.58203125" style="342" customWidth="1"/>
    <col min="210" max="210" width="15.25" style="342" customWidth="1"/>
    <col min="211" max="211" width="14.08203125" style="342" customWidth="1"/>
    <col min="212" max="212" width="17.75" style="342" customWidth="1"/>
    <col min="213" max="213" width="9" style="342" customWidth="1"/>
    <col min="214" max="214" width="4.5" style="342" customWidth="1"/>
    <col min="215" max="215" width="4.33203125" style="342" customWidth="1"/>
    <col min="216" max="219" width="10.33203125" style="342" customWidth="1"/>
    <col min="220" max="220" width="27.08203125" style="342" customWidth="1"/>
    <col min="221" max="221" width="13.5" style="342" customWidth="1"/>
    <col min="222" max="222" width="12.58203125" style="342" customWidth="1"/>
    <col min="223" max="223" width="15.25" style="342" customWidth="1"/>
    <col min="224" max="224" width="14.08203125" style="342" customWidth="1"/>
    <col min="225" max="225" width="16.25" style="342" customWidth="1"/>
    <col min="226" max="226" width="9" style="342" customWidth="1"/>
    <col min="227" max="227" width="4.5" style="342" customWidth="1"/>
    <col min="228" max="228" width="4.08203125" style="342" customWidth="1"/>
    <col min="229" max="248" width="10.33203125" style="342" customWidth="1"/>
    <col min="249" max="249" width="27.08203125" style="342" bestFit="1" customWidth="1"/>
    <col min="250" max="250" width="13.5" style="342" customWidth="1"/>
    <col min="251" max="251" width="12.58203125" style="342" customWidth="1"/>
    <col min="252" max="252" width="15.25" style="342" customWidth="1"/>
    <col min="253" max="253" width="14.08203125" style="342" customWidth="1"/>
    <col min="254" max="254" width="17.75" style="342" customWidth="1"/>
    <col min="255" max="255" width="9" style="342" customWidth="1"/>
    <col min="256" max="256" width="4.5" style="342" customWidth="1"/>
    <col min="257" max="257" width="4.08203125" style="342" customWidth="1"/>
    <col min="258" max="260" width="10.33203125" style="342" customWidth="1"/>
    <col min="261" max="370" width="10.33203125" style="342"/>
    <col min="371" max="371" width="3.83203125" style="342" customWidth="1"/>
    <col min="372" max="372" width="18.58203125" style="342" customWidth="1"/>
    <col min="373" max="373" width="19.75" style="342" customWidth="1"/>
    <col min="374" max="374" width="8" style="342" customWidth="1"/>
    <col min="375" max="375" width="2.75" style="342" bestFit="1" customWidth="1"/>
    <col min="376" max="377" width="6.25" style="342" bestFit="1" customWidth="1"/>
    <col min="378" max="378" width="18.83203125" style="342" bestFit="1" customWidth="1"/>
    <col min="379" max="379" width="6.83203125" style="342" bestFit="1" customWidth="1"/>
    <col min="380" max="380" width="3.25" style="342" customWidth="1"/>
    <col min="381" max="381" width="7.5" style="342" customWidth="1"/>
    <col min="382" max="382" width="2.75" style="342" bestFit="1" customWidth="1"/>
    <col min="383" max="384" width="6.25" style="342" customWidth="1"/>
    <col min="385" max="385" width="4.5" style="342" bestFit="1" customWidth="1"/>
    <col min="386" max="386" width="11.25" style="342" customWidth="1"/>
    <col min="387" max="405" width="10.33203125" style="342" customWidth="1"/>
    <col min="406" max="406" width="27.08203125" style="342" customWidth="1"/>
    <col min="407" max="407" width="13.5" style="342" customWidth="1"/>
    <col min="408" max="408" width="12.58203125" style="342" customWidth="1"/>
    <col min="409" max="409" width="12.75" style="342" customWidth="1"/>
    <col min="410" max="410" width="14.08203125" style="342" customWidth="1"/>
    <col min="411" max="411" width="13.75" style="342" customWidth="1"/>
    <col min="412" max="412" width="9" style="342" customWidth="1"/>
    <col min="413" max="413" width="4.5" style="342" customWidth="1"/>
    <col min="414" max="416" width="10.33203125" style="342" customWidth="1"/>
    <col min="417" max="417" width="6.83203125" style="342" customWidth="1"/>
    <col min="418" max="437" width="10.33203125" style="342" customWidth="1"/>
    <col min="438" max="438" width="27.08203125" style="342" customWidth="1"/>
    <col min="439" max="439" width="13.5" style="342" customWidth="1"/>
    <col min="440" max="440" width="12.58203125" style="342" customWidth="1"/>
    <col min="441" max="441" width="12.75" style="342" customWidth="1"/>
    <col min="442" max="442" width="14.08203125" style="342" customWidth="1"/>
    <col min="443" max="443" width="13.75" style="342" customWidth="1"/>
    <col min="444" max="444" width="9" style="342" customWidth="1"/>
    <col min="445" max="445" width="4.5" style="342" customWidth="1"/>
    <col min="446" max="448" width="10.33203125" style="342" customWidth="1"/>
    <col min="449" max="449" width="6.25" style="342" customWidth="1"/>
    <col min="450" max="450" width="27.08203125" style="342" customWidth="1"/>
    <col min="451" max="451" width="13.5" style="342" customWidth="1"/>
    <col min="452" max="452" width="12.58203125" style="342" customWidth="1"/>
    <col min="453" max="453" width="17.08203125" style="342" customWidth="1"/>
    <col min="454" max="454" width="14.08203125" style="342" customWidth="1"/>
    <col min="455" max="455" width="13.75" style="342" customWidth="1"/>
    <col min="456" max="456" width="9" style="342" customWidth="1"/>
    <col min="457" max="458" width="4.5" style="342" customWidth="1"/>
    <col min="459" max="462" width="10.33203125" style="342" customWidth="1"/>
    <col min="463" max="463" width="27.08203125" style="342" customWidth="1"/>
    <col min="464" max="464" width="13.5" style="342" customWidth="1"/>
    <col min="465" max="465" width="12.58203125" style="342" customWidth="1"/>
    <col min="466" max="466" width="15.25" style="342" customWidth="1"/>
    <col min="467" max="467" width="14.08203125" style="342" customWidth="1"/>
    <col min="468" max="468" width="17.75" style="342" customWidth="1"/>
    <col min="469" max="469" width="9" style="342" customWidth="1"/>
    <col min="470" max="470" width="4.5" style="342" customWidth="1"/>
    <col min="471" max="471" width="4.33203125" style="342" customWidth="1"/>
    <col min="472" max="475" width="10.33203125" style="342" customWidth="1"/>
    <col min="476" max="476" width="27.08203125" style="342" customWidth="1"/>
    <col min="477" max="477" width="13.5" style="342" customWidth="1"/>
    <col min="478" max="478" width="12.58203125" style="342" customWidth="1"/>
    <col min="479" max="479" width="15.25" style="342" customWidth="1"/>
    <col min="480" max="480" width="14.08203125" style="342" customWidth="1"/>
    <col min="481" max="481" width="16.25" style="342" customWidth="1"/>
    <col min="482" max="482" width="9" style="342" customWidth="1"/>
    <col min="483" max="483" width="4.5" style="342" customWidth="1"/>
    <col min="484" max="484" width="4.08203125" style="342" customWidth="1"/>
    <col min="485" max="504" width="10.33203125" style="342" customWidth="1"/>
    <col min="505" max="505" width="27.08203125" style="342" bestFit="1" customWidth="1"/>
    <col min="506" max="506" width="13.5" style="342" customWidth="1"/>
    <col min="507" max="507" width="12.58203125" style="342" customWidth="1"/>
    <col min="508" max="508" width="15.25" style="342" customWidth="1"/>
    <col min="509" max="509" width="14.08203125" style="342" customWidth="1"/>
    <col min="510" max="510" width="17.75" style="342" customWidth="1"/>
    <col min="511" max="511" width="9" style="342" customWidth="1"/>
    <col min="512" max="512" width="4.5" style="342" customWidth="1"/>
    <col min="513" max="513" width="4.08203125" style="342" customWidth="1"/>
    <col min="514" max="516" width="10.33203125" style="342" customWidth="1"/>
    <col min="517" max="626" width="10.33203125" style="342"/>
    <col min="627" max="627" width="3.83203125" style="342" customWidth="1"/>
    <col min="628" max="628" width="18.58203125" style="342" customWidth="1"/>
    <col min="629" max="629" width="19.75" style="342" customWidth="1"/>
    <col min="630" max="630" width="8" style="342" customWidth="1"/>
    <col min="631" max="631" width="2.75" style="342" bestFit="1" customWidth="1"/>
    <col min="632" max="633" width="6.25" style="342" bestFit="1" customWidth="1"/>
    <col min="634" max="634" width="18.83203125" style="342" bestFit="1" customWidth="1"/>
    <col min="635" max="635" width="6.83203125" style="342" bestFit="1" customWidth="1"/>
    <col min="636" max="636" width="3.25" style="342" customWidth="1"/>
    <col min="637" max="637" width="7.5" style="342" customWidth="1"/>
    <col min="638" max="638" width="2.75" style="342" bestFit="1" customWidth="1"/>
    <col min="639" max="640" width="6.25" style="342" customWidth="1"/>
    <col min="641" max="641" width="4.5" style="342" bestFit="1" customWidth="1"/>
    <col min="642" max="642" width="11.25" style="342" customWidth="1"/>
    <col min="643" max="661" width="10.33203125" style="342" customWidth="1"/>
    <col min="662" max="662" width="27.08203125" style="342" customWidth="1"/>
    <col min="663" max="663" width="13.5" style="342" customWidth="1"/>
    <col min="664" max="664" width="12.58203125" style="342" customWidth="1"/>
    <col min="665" max="665" width="12.75" style="342" customWidth="1"/>
    <col min="666" max="666" width="14.08203125" style="342" customWidth="1"/>
    <col min="667" max="667" width="13.75" style="342" customWidth="1"/>
    <col min="668" max="668" width="9" style="342" customWidth="1"/>
    <col min="669" max="669" width="4.5" style="342" customWidth="1"/>
    <col min="670" max="672" width="10.33203125" style="342" customWidth="1"/>
    <col min="673" max="673" width="6.83203125" style="342" customWidth="1"/>
    <col min="674" max="693" width="10.33203125" style="342" customWidth="1"/>
    <col min="694" max="694" width="27.08203125" style="342" customWidth="1"/>
    <col min="695" max="695" width="13.5" style="342" customWidth="1"/>
    <col min="696" max="696" width="12.58203125" style="342" customWidth="1"/>
    <col min="697" max="697" width="12.75" style="342" customWidth="1"/>
    <col min="698" max="698" width="14.08203125" style="342" customWidth="1"/>
    <col min="699" max="699" width="13.75" style="342" customWidth="1"/>
    <col min="700" max="700" width="9" style="342" customWidth="1"/>
    <col min="701" max="701" width="4.5" style="342" customWidth="1"/>
    <col min="702" max="704" width="10.33203125" style="342" customWidth="1"/>
    <col min="705" max="705" width="6.25" style="342" customWidth="1"/>
    <col min="706" max="706" width="27.08203125" style="342" customWidth="1"/>
    <col min="707" max="707" width="13.5" style="342" customWidth="1"/>
    <col min="708" max="708" width="12.58203125" style="342" customWidth="1"/>
    <col min="709" max="709" width="17.08203125" style="342" customWidth="1"/>
    <col min="710" max="710" width="14.08203125" style="342" customWidth="1"/>
    <col min="711" max="711" width="13.75" style="342" customWidth="1"/>
    <col min="712" max="712" width="9" style="342" customWidth="1"/>
    <col min="713" max="714" width="4.5" style="342" customWidth="1"/>
    <col min="715" max="718" width="10.33203125" style="342" customWidth="1"/>
    <col min="719" max="719" width="27.08203125" style="342" customWidth="1"/>
    <col min="720" max="720" width="13.5" style="342" customWidth="1"/>
    <col min="721" max="721" width="12.58203125" style="342" customWidth="1"/>
    <col min="722" max="722" width="15.25" style="342" customWidth="1"/>
    <col min="723" max="723" width="14.08203125" style="342" customWidth="1"/>
    <col min="724" max="724" width="17.75" style="342" customWidth="1"/>
    <col min="725" max="725" width="9" style="342" customWidth="1"/>
    <col min="726" max="726" width="4.5" style="342" customWidth="1"/>
    <col min="727" max="727" width="4.33203125" style="342" customWidth="1"/>
    <col min="728" max="731" width="10.33203125" style="342" customWidth="1"/>
    <col min="732" max="732" width="27.08203125" style="342" customWidth="1"/>
    <col min="733" max="733" width="13.5" style="342" customWidth="1"/>
    <col min="734" max="734" width="12.58203125" style="342" customWidth="1"/>
    <col min="735" max="735" width="15.25" style="342" customWidth="1"/>
    <col min="736" max="736" width="14.08203125" style="342" customWidth="1"/>
    <col min="737" max="737" width="16.25" style="342" customWidth="1"/>
    <col min="738" max="738" width="9" style="342" customWidth="1"/>
    <col min="739" max="739" width="4.5" style="342" customWidth="1"/>
    <col min="740" max="740" width="4.08203125" style="342" customWidth="1"/>
    <col min="741" max="760" width="10.33203125" style="342" customWidth="1"/>
    <col min="761" max="761" width="27.08203125" style="342" bestFit="1" customWidth="1"/>
    <col min="762" max="762" width="13.5" style="342" customWidth="1"/>
    <col min="763" max="763" width="12.58203125" style="342" customWidth="1"/>
    <col min="764" max="764" width="15.25" style="342" customWidth="1"/>
    <col min="765" max="765" width="14.08203125" style="342" customWidth="1"/>
    <col min="766" max="766" width="17.75" style="342" customWidth="1"/>
    <col min="767" max="767" width="9" style="342" customWidth="1"/>
    <col min="768" max="768" width="4.5" style="342" customWidth="1"/>
    <col min="769" max="769" width="4.08203125" style="342" customWidth="1"/>
    <col min="770" max="772" width="10.33203125" style="342" customWidth="1"/>
    <col min="773" max="882" width="10.33203125" style="342"/>
    <col min="883" max="883" width="3.83203125" style="342" customWidth="1"/>
    <col min="884" max="884" width="18.58203125" style="342" customWidth="1"/>
    <col min="885" max="885" width="19.75" style="342" customWidth="1"/>
    <col min="886" max="886" width="8" style="342" customWidth="1"/>
    <col min="887" max="887" width="2.75" style="342" bestFit="1" customWidth="1"/>
    <col min="888" max="889" width="6.25" style="342" bestFit="1" customWidth="1"/>
    <col min="890" max="890" width="18.83203125" style="342" bestFit="1" customWidth="1"/>
    <col min="891" max="891" width="6.83203125" style="342" bestFit="1" customWidth="1"/>
    <col min="892" max="892" width="3.25" style="342" customWidth="1"/>
    <col min="893" max="893" width="7.5" style="342" customWidth="1"/>
    <col min="894" max="894" width="2.75" style="342" bestFit="1" customWidth="1"/>
    <col min="895" max="896" width="6.25" style="342" customWidth="1"/>
    <col min="897" max="897" width="4.5" style="342" bestFit="1" customWidth="1"/>
    <col min="898" max="898" width="11.25" style="342" customWidth="1"/>
    <col min="899" max="917" width="10.33203125" style="342" customWidth="1"/>
    <col min="918" max="918" width="27.08203125" style="342" customWidth="1"/>
    <col min="919" max="919" width="13.5" style="342" customWidth="1"/>
    <col min="920" max="920" width="12.58203125" style="342" customWidth="1"/>
    <col min="921" max="921" width="12.75" style="342" customWidth="1"/>
    <col min="922" max="922" width="14.08203125" style="342" customWidth="1"/>
    <col min="923" max="923" width="13.75" style="342" customWidth="1"/>
    <col min="924" max="924" width="9" style="342" customWidth="1"/>
    <col min="925" max="925" width="4.5" style="342" customWidth="1"/>
    <col min="926" max="928" width="10.33203125" style="342" customWidth="1"/>
    <col min="929" max="929" width="6.83203125" style="342" customWidth="1"/>
    <col min="930" max="949" width="10.33203125" style="342" customWidth="1"/>
    <col min="950" max="950" width="27.08203125" style="342" customWidth="1"/>
    <col min="951" max="951" width="13.5" style="342" customWidth="1"/>
    <col min="952" max="952" width="12.58203125" style="342" customWidth="1"/>
    <col min="953" max="953" width="12.75" style="342" customWidth="1"/>
    <col min="954" max="954" width="14.08203125" style="342" customWidth="1"/>
    <col min="955" max="955" width="13.75" style="342" customWidth="1"/>
    <col min="956" max="956" width="9" style="342" customWidth="1"/>
    <col min="957" max="957" width="4.5" style="342" customWidth="1"/>
    <col min="958" max="960" width="10.33203125" style="342" customWidth="1"/>
    <col min="961" max="961" width="6.25" style="342" customWidth="1"/>
    <col min="962" max="962" width="27.08203125" style="342" customWidth="1"/>
    <col min="963" max="963" width="13.5" style="342" customWidth="1"/>
    <col min="964" max="964" width="12.58203125" style="342" customWidth="1"/>
    <col min="965" max="965" width="17.08203125" style="342" customWidth="1"/>
    <col min="966" max="966" width="14.08203125" style="342" customWidth="1"/>
    <col min="967" max="967" width="13.75" style="342" customWidth="1"/>
    <col min="968" max="968" width="9" style="342" customWidth="1"/>
    <col min="969" max="970" width="4.5" style="342" customWidth="1"/>
    <col min="971" max="974" width="10.33203125" style="342" customWidth="1"/>
    <col min="975" max="975" width="27.08203125" style="342" customWidth="1"/>
    <col min="976" max="976" width="13.5" style="342" customWidth="1"/>
    <col min="977" max="977" width="12.58203125" style="342" customWidth="1"/>
    <col min="978" max="978" width="15.25" style="342" customWidth="1"/>
    <col min="979" max="979" width="14.08203125" style="342" customWidth="1"/>
    <col min="980" max="980" width="17.75" style="342" customWidth="1"/>
    <col min="981" max="981" width="9" style="342" customWidth="1"/>
    <col min="982" max="982" width="4.5" style="342" customWidth="1"/>
    <col min="983" max="983" width="4.33203125" style="342" customWidth="1"/>
    <col min="984" max="987" width="10.33203125" style="342" customWidth="1"/>
    <col min="988" max="988" width="27.08203125" style="342" customWidth="1"/>
    <col min="989" max="989" width="13.5" style="342" customWidth="1"/>
    <col min="990" max="990" width="12.58203125" style="342" customWidth="1"/>
    <col min="991" max="991" width="15.25" style="342" customWidth="1"/>
    <col min="992" max="992" width="14.08203125" style="342" customWidth="1"/>
    <col min="993" max="993" width="16.25" style="342" customWidth="1"/>
    <col min="994" max="994" width="9" style="342" customWidth="1"/>
    <col min="995" max="995" width="4.5" style="342" customWidth="1"/>
    <col min="996" max="996" width="4.08203125" style="342" customWidth="1"/>
    <col min="997" max="1016" width="10.33203125" style="342" customWidth="1"/>
    <col min="1017" max="1017" width="27.08203125" style="342" bestFit="1" customWidth="1"/>
    <col min="1018" max="1018" width="13.5" style="342" customWidth="1"/>
    <col min="1019" max="1019" width="12.58203125" style="342" customWidth="1"/>
    <col min="1020" max="1020" width="15.25" style="342" customWidth="1"/>
    <col min="1021" max="1021" width="14.08203125" style="342" customWidth="1"/>
    <col min="1022" max="1022" width="17.75" style="342" customWidth="1"/>
    <col min="1023" max="1023" width="9" style="342" customWidth="1"/>
    <col min="1024" max="1024" width="4.5" style="342" customWidth="1"/>
    <col min="1025" max="1025" width="4.08203125" style="342" customWidth="1"/>
    <col min="1026" max="1028" width="10.33203125" style="342" customWidth="1"/>
    <col min="1029" max="1138" width="10.33203125" style="342"/>
    <col min="1139" max="1139" width="3.83203125" style="342" customWidth="1"/>
    <col min="1140" max="1140" width="18.58203125" style="342" customWidth="1"/>
    <col min="1141" max="1141" width="19.75" style="342" customWidth="1"/>
    <col min="1142" max="1142" width="8" style="342" customWidth="1"/>
    <col min="1143" max="1143" width="2.75" style="342" bestFit="1" customWidth="1"/>
    <col min="1144" max="1145" width="6.25" style="342" bestFit="1" customWidth="1"/>
    <col min="1146" max="1146" width="18.83203125" style="342" bestFit="1" customWidth="1"/>
    <col min="1147" max="1147" width="6.83203125" style="342" bestFit="1" customWidth="1"/>
    <col min="1148" max="1148" width="3.25" style="342" customWidth="1"/>
    <col min="1149" max="1149" width="7.5" style="342" customWidth="1"/>
    <col min="1150" max="1150" width="2.75" style="342" bestFit="1" customWidth="1"/>
    <col min="1151" max="1152" width="6.25" style="342" customWidth="1"/>
    <col min="1153" max="1153" width="4.5" style="342" bestFit="1" customWidth="1"/>
    <col min="1154" max="1154" width="11.25" style="342" customWidth="1"/>
    <col min="1155" max="1173" width="10.33203125" style="342" customWidth="1"/>
    <col min="1174" max="1174" width="27.08203125" style="342" customWidth="1"/>
    <col min="1175" max="1175" width="13.5" style="342" customWidth="1"/>
    <col min="1176" max="1176" width="12.58203125" style="342" customWidth="1"/>
    <col min="1177" max="1177" width="12.75" style="342" customWidth="1"/>
    <col min="1178" max="1178" width="14.08203125" style="342" customWidth="1"/>
    <col min="1179" max="1179" width="13.75" style="342" customWidth="1"/>
    <col min="1180" max="1180" width="9" style="342" customWidth="1"/>
    <col min="1181" max="1181" width="4.5" style="342" customWidth="1"/>
    <col min="1182" max="1184" width="10.33203125" style="342" customWidth="1"/>
    <col min="1185" max="1185" width="6.83203125" style="342" customWidth="1"/>
    <col min="1186" max="1205" width="10.33203125" style="342" customWidth="1"/>
    <col min="1206" max="1206" width="27.08203125" style="342" customWidth="1"/>
    <col min="1207" max="1207" width="13.5" style="342" customWidth="1"/>
    <col min="1208" max="1208" width="12.58203125" style="342" customWidth="1"/>
    <col min="1209" max="1209" width="12.75" style="342" customWidth="1"/>
    <col min="1210" max="1210" width="14.08203125" style="342" customWidth="1"/>
    <col min="1211" max="1211" width="13.75" style="342" customWidth="1"/>
    <col min="1212" max="1212" width="9" style="342" customWidth="1"/>
    <col min="1213" max="1213" width="4.5" style="342" customWidth="1"/>
    <col min="1214" max="1216" width="10.33203125" style="342" customWidth="1"/>
    <col min="1217" max="1217" width="6.25" style="342" customWidth="1"/>
    <col min="1218" max="1218" width="27.08203125" style="342" customWidth="1"/>
    <col min="1219" max="1219" width="13.5" style="342" customWidth="1"/>
    <col min="1220" max="1220" width="12.58203125" style="342" customWidth="1"/>
    <col min="1221" max="1221" width="17.08203125" style="342" customWidth="1"/>
    <col min="1222" max="1222" width="14.08203125" style="342" customWidth="1"/>
    <col min="1223" max="1223" width="13.75" style="342" customWidth="1"/>
    <col min="1224" max="1224" width="9" style="342" customWidth="1"/>
    <col min="1225" max="1226" width="4.5" style="342" customWidth="1"/>
    <col min="1227" max="1230" width="10.33203125" style="342" customWidth="1"/>
    <col min="1231" max="1231" width="27.08203125" style="342" customWidth="1"/>
    <col min="1232" max="1232" width="13.5" style="342" customWidth="1"/>
    <col min="1233" max="1233" width="12.58203125" style="342" customWidth="1"/>
    <col min="1234" max="1234" width="15.25" style="342" customWidth="1"/>
    <col min="1235" max="1235" width="14.08203125" style="342" customWidth="1"/>
    <col min="1236" max="1236" width="17.75" style="342" customWidth="1"/>
    <col min="1237" max="1237" width="9" style="342" customWidth="1"/>
    <col min="1238" max="1238" width="4.5" style="342" customWidth="1"/>
    <col min="1239" max="1239" width="4.33203125" style="342" customWidth="1"/>
    <col min="1240" max="1243" width="10.33203125" style="342" customWidth="1"/>
    <col min="1244" max="1244" width="27.08203125" style="342" customWidth="1"/>
    <col min="1245" max="1245" width="13.5" style="342" customWidth="1"/>
    <col min="1246" max="1246" width="12.58203125" style="342" customWidth="1"/>
    <col min="1247" max="1247" width="15.25" style="342" customWidth="1"/>
    <col min="1248" max="1248" width="14.08203125" style="342" customWidth="1"/>
    <col min="1249" max="1249" width="16.25" style="342" customWidth="1"/>
    <col min="1250" max="1250" width="9" style="342" customWidth="1"/>
    <col min="1251" max="1251" width="4.5" style="342" customWidth="1"/>
    <col min="1252" max="1252" width="4.08203125" style="342" customWidth="1"/>
    <col min="1253" max="1272" width="10.33203125" style="342" customWidth="1"/>
    <col min="1273" max="1273" width="27.08203125" style="342" bestFit="1" customWidth="1"/>
    <col min="1274" max="1274" width="13.5" style="342" customWidth="1"/>
    <col min="1275" max="1275" width="12.58203125" style="342" customWidth="1"/>
    <col min="1276" max="1276" width="15.25" style="342" customWidth="1"/>
    <col min="1277" max="1277" width="14.08203125" style="342" customWidth="1"/>
    <col min="1278" max="1278" width="17.75" style="342" customWidth="1"/>
    <col min="1279" max="1279" width="9" style="342" customWidth="1"/>
    <col min="1280" max="1280" width="4.5" style="342" customWidth="1"/>
    <col min="1281" max="1281" width="4.08203125" style="342" customWidth="1"/>
    <col min="1282" max="1284" width="10.33203125" style="342" customWidth="1"/>
    <col min="1285" max="1394" width="10.33203125" style="342"/>
    <col min="1395" max="1395" width="3.83203125" style="342" customWidth="1"/>
    <col min="1396" max="1396" width="18.58203125" style="342" customWidth="1"/>
    <col min="1397" max="1397" width="19.75" style="342" customWidth="1"/>
    <col min="1398" max="1398" width="8" style="342" customWidth="1"/>
    <col min="1399" max="1399" width="2.75" style="342" bestFit="1" customWidth="1"/>
    <col min="1400" max="1401" width="6.25" style="342" bestFit="1" customWidth="1"/>
    <col min="1402" max="1402" width="18.83203125" style="342" bestFit="1" customWidth="1"/>
    <col min="1403" max="1403" width="6.83203125" style="342" bestFit="1" customWidth="1"/>
    <col min="1404" max="1404" width="3.25" style="342" customWidth="1"/>
    <col min="1405" max="1405" width="7.5" style="342" customWidth="1"/>
    <col min="1406" max="1406" width="2.75" style="342" bestFit="1" customWidth="1"/>
    <col min="1407" max="1408" width="6.25" style="342" customWidth="1"/>
    <col min="1409" max="1409" width="4.5" style="342" bestFit="1" customWidth="1"/>
    <col min="1410" max="1410" width="11.25" style="342" customWidth="1"/>
    <col min="1411" max="1429" width="10.33203125" style="342" customWidth="1"/>
    <col min="1430" max="1430" width="27.08203125" style="342" customWidth="1"/>
    <col min="1431" max="1431" width="13.5" style="342" customWidth="1"/>
    <col min="1432" max="1432" width="12.58203125" style="342" customWidth="1"/>
    <col min="1433" max="1433" width="12.75" style="342" customWidth="1"/>
    <col min="1434" max="1434" width="14.08203125" style="342" customWidth="1"/>
    <col min="1435" max="1435" width="13.75" style="342" customWidth="1"/>
    <col min="1436" max="1436" width="9" style="342" customWidth="1"/>
    <col min="1437" max="1437" width="4.5" style="342" customWidth="1"/>
    <col min="1438" max="1440" width="10.33203125" style="342" customWidth="1"/>
    <col min="1441" max="1441" width="6.83203125" style="342" customWidth="1"/>
    <col min="1442" max="1461" width="10.33203125" style="342" customWidth="1"/>
    <col min="1462" max="1462" width="27.08203125" style="342" customWidth="1"/>
    <col min="1463" max="1463" width="13.5" style="342" customWidth="1"/>
    <col min="1464" max="1464" width="12.58203125" style="342" customWidth="1"/>
    <col min="1465" max="1465" width="12.75" style="342" customWidth="1"/>
    <col min="1466" max="1466" width="14.08203125" style="342" customWidth="1"/>
    <col min="1467" max="1467" width="13.75" style="342" customWidth="1"/>
    <col min="1468" max="1468" width="9" style="342" customWidth="1"/>
    <col min="1469" max="1469" width="4.5" style="342" customWidth="1"/>
    <col min="1470" max="1472" width="10.33203125" style="342" customWidth="1"/>
    <col min="1473" max="1473" width="6.25" style="342" customWidth="1"/>
    <col min="1474" max="1474" width="27.08203125" style="342" customWidth="1"/>
    <col min="1475" max="1475" width="13.5" style="342" customWidth="1"/>
    <col min="1476" max="1476" width="12.58203125" style="342" customWidth="1"/>
    <col min="1477" max="1477" width="17.08203125" style="342" customWidth="1"/>
    <col min="1478" max="1478" width="14.08203125" style="342" customWidth="1"/>
    <col min="1479" max="1479" width="13.75" style="342" customWidth="1"/>
    <col min="1480" max="1480" width="9" style="342" customWidth="1"/>
    <col min="1481" max="1482" width="4.5" style="342" customWidth="1"/>
    <col min="1483" max="1486" width="10.33203125" style="342" customWidth="1"/>
    <col min="1487" max="1487" width="27.08203125" style="342" customWidth="1"/>
    <col min="1488" max="1488" width="13.5" style="342" customWidth="1"/>
    <col min="1489" max="1489" width="12.58203125" style="342" customWidth="1"/>
    <col min="1490" max="1490" width="15.25" style="342" customWidth="1"/>
    <col min="1491" max="1491" width="14.08203125" style="342" customWidth="1"/>
    <col min="1492" max="1492" width="17.75" style="342" customWidth="1"/>
    <col min="1493" max="1493" width="9" style="342" customWidth="1"/>
    <col min="1494" max="1494" width="4.5" style="342" customWidth="1"/>
    <col min="1495" max="1495" width="4.33203125" style="342" customWidth="1"/>
    <col min="1496" max="1499" width="10.33203125" style="342" customWidth="1"/>
    <col min="1500" max="1500" width="27.08203125" style="342" customWidth="1"/>
    <col min="1501" max="1501" width="13.5" style="342" customWidth="1"/>
    <col min="1502" max="1502" width="12.58203125" style="342" customWidth="1"/>
    <col min="1503" max="1503" width="15.25" style="342" customWidth="1"/>
    <col min="1504" max="1504" width="14.08203125" style="342" customWidth="1"/>
    <col min="1505" max="1505" width="16.25" style="342" customWidth="1"/>
    <col min="1506" max="1506" width="9" style="342" customWidth="1"/>
    <col min="1507" max="1507" width="4.5" style="342" customWidth="1"/>
    <col min="1508" max="1508" width="4.08203125" style="342" customWidth="1"/>
    <col min="1509" max="1528" width="10.33203125" style="342" customWidth="1"/>
    <col min="1529" max="1529" width="27.08203125" style="342" bestFit="1" customWidth="1"/>
    <col min="1530" max="1530" width="13.5" style="342" customWidth="1"/>
    <col min="1531" max="1531" width="12.58203125" style="342" customWidth="1"/>
    <col min="1532" max="1532" width="15.25" style="342" customWidth="1"/>
    <col min="1533" max="1533" width="14.08203125" style="342" customWidth="1"/>
    <col min="1534" max="1534" width="17.75" style="342" customWidth="1"/>
    <col min="1535" max="1535" width="9" style="342" customWidth="1"/>
    <col min="1536" max="1536" width="4.5" style="342" customWidth="1"/>
    <col min="1537" max="1537" width="4.08203125" style="342" customWidth="1"/>
    <col min="1538" max="1540" width="10.33203125" style="342" customWidth="1"/>
    <col min="1541" max="1650" width="10.33203125" style="342"/>
    <col min="1651" max="1651" width="3.83203125" style="342" customWidth="1"/>
    <col min="1652" max="1652" width="18.58203125" style="342" customWidth="1"/>
    <col min="1653" max="1653" width="19.75" style="342" customWidth="1"/>
    <col min="1654" max="1654" width="8" style="342" customWidth="1"/>
    <col min="1655" max="1655" width="2.75" style="342" bestFit="1" customWidth="1"/>
    <col min="1656" max="1657" width="6.25" style="342" bestFit="1" customWidth="1"/>
    <col min="1658" max="1658" width="18.83203125" style="342" bestFit="1" customWidth="1"/>
    <col min="1659" max="1659" width="6.83203125" style="342" bestFit="1" customWidth="1"/>
    <col min="1660" max="1660" width="3.25" style="342" customWidth="1"/>
    <col min="1661" max="1661" width="7.5" style="342" customWidth="1"/>
    <col min="1662" max="1662" width="2.75" style="342" bestFit="1" customWidth="1"/>
    <col min="1663" max="1664" width="6.25" style="342" customWidth="1"/>
    <col min="1665" max="1665" width="4.5" style="342" bestFit="1" customWidth="1"/>
    <col min="1666" max="1666" width="11.25" style="342" customWidth="1"/>
    <col min="1667" max="1685" width="10.33203125" style="342" customWidth="1"/>
    <col min="1686" max="1686" width="27.08203125" style="342" customWidth="1"/>
    <col min="1687" max="1687" width="13.5" style="342" customWidth="1"/>
    <col min="1688" max="1688" width="12.58203125" style="342" customWidth="1"/>
    <col min="1689" max="1689" width="12.75" style="342" customWidth="1"/>
    <col min="1690" max="1690" width="14.08203125" style="342" customWidth="1"/>
    <col min="1691" max="1691" width="13.75" style="342" customWidth="1"/>
    <col min="1692" max="1692" width="9" style="342" customWidth="1"/>
    <col min="1693" max="1693" width="4.5" style="342" customWidth="1"/>
    <col min="1694" max="1696" width="10.33203125" style="342" customWidth="1"/>
    <col min="1697" max="1697" width="6.83203125" style="342" customWidth="1"/>
    <col min="1698" max="1717" width="10.33203125" style="342" customWidth="1"/>
    <col min="1718" max="1718" width="27.08203125" style="342" customWidth="1"/>
    <col min="1719" max="1719" width="13.5" style="342" customWidth="1"/>
    <col min="1720" max="1720" width="12.58203125" style="342" customWidth="1"/>
    <col min="1721" max="1721" width="12.75" style="342" customWidth="1"/>
    <col min="1722" max="1722" width="14.08203125" style="342" customWidth="1"/>
    <col min="1723" max="1723" width="13.75" style="342" customWidth="1"/>
    <col min="1724" max="1724" width="9" style="342" customWidth="1"/>
    <col min="1725" max="1725" width="4.5" style="342" customWidth="1"/>
    <col min="1726" max="1728" width="10.33203125" style="342" customWidth="1"/>
    <col min="1729" max="1729" width="6.25" style="342" customWidth="1"/>
    <col min="1730" max="1730" width="27.08203125" style="342" customWidth="1"/>
    <col min="1731" max="1731" width="13.5" style="342" customWidth="1"/>
    <col min="1732" max="1732" width="12.58203125" style="342" customWidth="1"/>
    <col min="1733" max="1733" width="17.08203125" style="342" customWidth="1"/>
    <col min="1734" max="1734" width="14.08203125" style="342" customWidth="1"/>
    <col min="1735" max="1735" width="13.75" style="342" customWidth="1"/>
    <col min="1736" max="1736" width="9" style="342" customWidth="1"/>
    <col min="1737" max="1738" width="4.5" style="342" customWidth="1"/>
    <col min="1739" max="1742" width="10.33203125" style="342" customWidth="1"/>
    <col min="1743" max="1743" width="27.08203125" style="342" customWidth="1"/>
    <col min="1744" max="1744" width="13.5" style="342" customWidth="1"/>
    <col min="1745" max="1745" width="12.58203125" style="342" customWidth="1"/>
    <col min="1746" max="1746" width="15.25" style="342" customWidth="1"/>
    <col min="1747" max="1747" width="14.08203125" style="342" customWidth="1"/>
    <col min="1748" max="1748" width="17.75" style="342" customWidth="1"/>
    <col min="1749" max="1749" width="9" style="342" customWidth="1"/>
    <col min="1750" max="1750" width="4.5" style="342" customWidth="1"/>
    <col min="1751" max="1751" width="4.33203125" style="342" customWidth="1"/>
    <col min="1752" max="1755" width="10.33203125" style="342" customWidth="1"/>
    <col min="1756" max="1756" width="27.08203125" style="342" customWidth="1"/>
    <col min="1757" max="1757" width="13.5" style="342" customWidth="1"/>
    <col min="1758" max="1758" width="12.58203125" style="342" customWidth="1"/>
    <col min="1759" max="1759" width="15.25" style="342" customWidth="1"/>
    <col min="1760" max="1760" width="14.08203125" style="342" customWidth="1"/>
    <col min="1761" max="1761" width="16.25" style="342" customWidth="1"/>
    <col min="1762" max="1762" width="9" style="342" customWidth="1"/>
    <col min="1763" max="1763" width="4.5" style="342" customWidth="1"/>
    <col min="1764" max="1764" width="4.08203125" style="342" customWidth="1"/>
    <col min="1765" max="1784" width="10.33203125" style="342" customWidth="1"/>
    <col min="1785" max="1785" width="27.08203125" style="342" bestFit="1" customWidth="1"/>
    <col min="1786" max="1786" width="13.5" style="342" customWidth="1"/>
    <col min="1787" max="1787" width="12.58203125" style="342" customWidth="1"/>
    <col min="1788" max="1788" width="15.25" style="342" customWidth="1"/>
    <col min="1789" max="1789" width="14.08203125" style="342" customWidth="1"/>
    <col min="1790" max="1790" width="17.75" style="342" customWidth="1"/>
    <col min="1791" max="1791" width="9" style="342" customWidth="1"/>
    <col min="1792" max="1792" width="4.5" style="342" customWidth="1"/>
    <col min="1793" max="1793" width="4.08203125" style="342" customWidth="1"/>
    <col min="1794" max="1796" width="10.33203125" style="342" customWidth="1"/>
    <col min="1797" max="1906" width="10.33203125" style="342"/>
    <col min="1907" max="1907" width="3.83203125" style="342" customWidth="1"/>
    <col min="1908" max="1908" width="18.58203125" style="342" customWidth="1"/>
    <col min="1909" max="1909" width="19.75" style="342" customWidth="1"/>
    <col min="1910" max="1910" width="8" style="342" customWidth="1"/>
    <col min="1911" max="1911" width="2.75" style="342" bestFit="1" customWidth="1"/>
    <col min="1912" max="1913" width="6.25" style="342" bestFit="1" customWidth="1"/>
    <col min="1914" max="1914" width="18.83203125" style="342" bestFit="1" customWidth="1"/>
    <col min="1915" max="1915" width="6.83203125" style="342" bestFit="1" customWidth="1"/>
    <col min="1916" max="1916" width="3.25" style="342" customWidth="1"/>
    <col min="1917" max="1917" width="7.5" style="342" customWidth="1"/>
    <col min="1918" max="1918" width="2.75" style="342" bestFit="1" customWidth="1"/>
    <col min="1919" max="1920" width="6.25" style="342" customWidth="1"/>
    <col min="1921" max="1921" width="4.5" style="342" bestFit="1" customWidth="1"/>
    <col min="1922" max="1922" width="11.25" style="342" customWidth="1"/>
    <col min="1923" max="1941" width="10.33203125" style="342" customWidth="1"/>
    <col min="1942" max="1942" width="27.08203125" style="342" customWidth="1"/>
    <col min="1943" max="1943" width="13.5" style="342" customWidth="1"/>
    <col min="1944" max="1944" width="12.58203125" style="342" customWidth="1"/>
    <col min="1945" max="1945" width="12.75" style="342" customWidth="1"/>
    <col min="1946" max="1946" width="14.08203125" style="342" customWidth="1"/>
    <col min="1947" max="1947" width="13.75" style="342" customWidth="1"/>
    <col min="1948" max="1948" width="9" style="342" customWidth="1"/>
    <col min="1949" max="1949" width="4.5" style="342" customWidth="1"/>
    <col min="1950" max="1952" width="10.33203125" style="342" customWidth="1"/>
    <col min="1953" max="1953" width="6.83203125" style="342" customWidth="1"/>
    <col min="1954" max="1973" width="10.33203125" style="342" customWidth="1"/>
    <col min="1974" max="1974" width="27.08203125" style="342" customWidth="1"/>
    <col min="1975" max="1975" width="13.5" style="342" customWidth="1"/>
    <col min="1976" max="1976" width="12.58203125" style="342" customWidth="1"/>
    <col min="1977" max="1977" width="12.75" style="342" customWidth="1"/>
    <col min="1978" max="1978" width="14.08203125" style="342" customWidth="1"/>
    <col min="1979" max="1979" width="13.75" style="342" customWidth="1"/>
    <col min="1980" max="1980" width="9" style="342" customWidth="1"/>
    <col min="1981" max="1981" width="4.5" style="342" customWidth="1"/>
    <col min="1982" max="1984" width="10.33203125" style="342" customWidth="1"/>
    <col min="1985" max="1985" width="6.25" style="342" customWidth="1"/>
    <col min="1986" max="1986" width="27.08203125" style="342" customWidth="1"/>
    <col min="1987" max="1987" width="13.5" style="342" customWidth="1"/>
    <col min="1988" max="1988" width="12.58203125" style="342" customWidth="1"/>
    <col min="1989" max="1989" width="17.08203125" style="342" customWidth="1"/>
    <col min="1990" max="1990" width="14.08203125" style="342" customWidth="1"/>
    <col min="1991" max="1991" width="13.75" style="342" customWidth="1"/>
    <col min="1992" max="1992" width="9" style="342" customWidth="1"/>
    <col min="1993" max="1994" width="4.5" style="342" customWidth="1"/>
    <col min="1995" max="1998" width="10.33203125" style="342" customWidth="1"/>
    <col min="1999" max="1999" width="27.08203125" style="342" customWidth="1"/>
    <col min="2000" max="2000" width="13.5" style="342" customWidth="1"/>
    <col min="2001" max="2001" width="12.58203125" style="342" customWidth="1"/>
    <col min="2002" max="2002" width="15.25" style="342" customWidth="1"/>
    <col min="2003" max="2003" width="14.08203125" style="342" customWidth="1"/>
    <col min="2004" max="2004" width="17.75" style="342" customWidth="1"/>
    <col min="2005" max="2005" width="9" style="342" customWidth="1"/>
    <col min="2006" max="2006" width="4.5" style="342" customWidth="1"/>
    <col min="2007" max="2007" width="4.33203125" style="342" customWidth="1"/>
    <col min="2008" max="2011" width="10.33203125" style="342" customWidth="1"/>
    <col min="2012" max="2012" width="27.08203125" style="342" customWidth="1"/>
    <col min="2013" max="2013" width="13.5" style="342" customWidth="1"/>
    <col min="2014" max="2014" width="12.58203125" style="342" customWidth="1"/>
    <col min="2015" max="2015" width="15.25" style="342" customWidth="1"/>
    <col min="2016" max="2016" width="14.08203125" style="342" customWidth="1"/>
    <col min="2017" max="2017" width="16.25" style="342" customWidth="1"/>
    <col min="2018" max="2018" width="9" style="342" customWidth="1"/>
    <col min="2019" max="2019" width="4.5" style="342" customWidth="1"/>
    <col min="2020" max="2020" width="4.08203125" style="342" customWidth="1"/>
    <col min="2021" max="2040" width="10.33203125" style="342" customWidth="1"/>
    <col min="2041" max="2041" width="27.08203125" style="342" bestFit="1" customWidth="1"/>
    <col min="2042" max="2042" width="13.5" style="342" customWidth="1"/>
    <col min="2043" max="2043" width="12.58203125" style="342" customWidth="1"/>
    <col min="2044" max="2044" width="15.25" style="342" customWidth="1"/>
    <col min="2045" max="2045" width="14.08203125" style="342" customWidth="1"/>
    <col min="2046" max="2046" width="17.75" style="342" customWidth="1"/>
    <col min="2047" max="2047" width="9" style="342" customWidth="1"/>
    <col min="2048" max="2048" width="4.5" style="342" customWidth="1"/>
    <col min="2049" max="2049" width="4.08203125" style="342" customWidth="1"/>
    <col min="2050" max="2052" width="10.33203125" style="342" customWidth="1"/>
    <col min="2053" max="2162" width="10.33203125" style="342"/>
    <col min="2163" max="2163" width="3.83203125" style="342" customWidth="1"/>
    <col min="2164" max="2164" width="18.58203125" style="342" customWidth="1"/>
    <col min="2165" max="2165" width="19.75" style="342" customWidth="1"/>
    <col min="2166" max="2166" width="8" style="342" customWidth="1"/>
    <col min="2167" max="2167" width="2.75" style="342" bestFit="1" customWidth="1"/>
    <col min="2168" max="2169" width="6.25" style="342" bestFit="1" customWidth="1"/>
    <col min="2170" max="2170" width="18.83203125" style="342" bestFit="1" customWidth="1"/>
    <col min="2171" max="2171" width="6.83203125" style="342" bestFit="1" customWidth="1"/>
    <col min="2172" max="2172" width="3.25" style="342" customWidth="1"/>
    <col min="2173" max="2173" width="7.5" style="342" customWidth="1"/>
    <col min="2174" max="2174" width="2.75" style="342" bestFit="1" customWidth="1"/>
    <col min="2175" max="2176" width="6.25" style="342" customWidth="1"/>
    <col min="2177" max="2177" width="4.5" style="342" bestFit="1" customWidth="1"/>
    <col min="2178" max="2178" width="11.25" style="342" customWidth="1"/>
    <col min="2179" max="2197" width="10.33203125" style="342" customWidth="1"/>
    <col min="2198" max="2198" width="27.08203125" style="342" customWidth="1"/>
    <col min="2199" max="2199" width="13.5" style="342" customWidth="1"/>
    <col min="2200" max="2200" width="12.58203125" style="342" customWidth="1"/>
    <col min="2201" max="2201" width="12.75" style="342" customWidth="1"/>
    <col min="2202" max="2202" width="14.08203125" style="342" customWidth="1"/>
    <col min="2203" max="2203" width="13.75" style="342" customWidth="1"/>
    <col min="2204" max="2204" width="9" style="342" customWidth="1"/>
    <col min="2205" max="2205" width="4.5" style="342" customWidth="1"/>
    <col min="2206" max="2208" width="10.33203125" style="342" customWidth="1"/>
    <col min="2209" max="2209" width="6.83203125" style="342" customWidth="1"/>
    <col min="2210" max="2229" width="10.33203125" style="342" customWidth="1"/>
    <col min="2230" max="2230" width="27.08203125" style="342" customWidth="1"/>
    <col min="2231" max="2231" width="13.5" style="342" customWidth="1"/>
    <col min="2232" max="2232" width="12.58203125" style="342" customWidth="1"/>
    <col min="2233" max="2233" width="12.75" style="342" customWidth="1"/>
    <col min="2234" max="2234" width="14.08203125" style="342" customWidth="1"/>
    <col min="2235" max="2235" width="13.75" style="342" customWidth="1"/>
    <col min="2236" max="2236" width="9" style="342" customWidth="1"/>
    <col min="2237" max="2237" width="4.5" style="342" customWidth="1"/>
    <col min="2238" max="2240" width="10.33203125" style="342" customWidth="1"/>
    <col min="2241" max="2241" width="6.25" style="342" customWidth="1"/>
    <col min="2242" max="2242" width="27.08203125" style="342" customWidth="1"/>
    <col min="2243" max="2243" width="13.5" style="342" customWidth="1"/>
    <col min="2244" max="2244" width="12.58203125" style="342" customWidth="1"/>
    <col min="2245" max="2245" width="17.08203125" style="342" customWidth="1"/>
    <col min="2246" max="2246" width="14.08203125" style="342" customWidth="1"/>
    <col min="2247" max="2247" width="13.75" style="342" customWidth="1"/>
    <col min="2248" max="2248" width="9" style="342" customWidth="1"/>
    <col min="2249" max="2250" width="4.5" style="342" customWidth="1"/>
    <col min="2251" max="2254" width="10.33203125" style="342" customWidth="1"/>
    <col min="2255" max="2255" width="27.08203125" style="342" customWidth="1"/>
    <col min="2256" max="2256" width="13.5" style="342" customWidth="1"/>
    <col min="2257" max="2257" width="12.58203125" style="342" customWidth="1"/>
    <col min="2258" max="2258" width="15.25" style="342" customWidth="1"/>
    <col min="2259" max="2259" width="14.08203125" style="342" customWidth="1"/>
    <col min="2260" max="2260" width="17.75" style="342" customWidth="1"/>
    <col min="2261" max="2261" width="9" style="342" customWidth="1"/>
    <col min="2262" max="2262" width="4.5" style="342" customWidth="1"/>
    <col min="2263" max="2263" width="4.33203125" style="342" customWidth="1"/>
    <col min="2264" max="2267" width="10.33203125" style="342" customWidth="1"/>
    <col min="2268" max="2268" width="27.08203125" style="342" customWidth="1"/>
    <col min="2269" max="2269" width="13.5" style="342" customWidth="1"/>
    <col min="2270" max="2270" width="12.58203125" style="342" customWidth="1"/>
    <col min="2271" max="2271" width="15.25" style="342" customWidth="1"/>
    <col min="2272" max="2272" width="14.08203125" style="342" customWidth="1"/>
    <col min="2273" max="2273" width="16.25" style="342" customWidth="1"/>
    <col min="2274" max="2274" width="9" style="342" customWidth="1"/>
    <col min="2275" max="2275" width="4.5" style="342" customWidth="1"/>
    <col min="2276" max="2276" width="4.08203125" style="342" customWidth="1"/>
    <col min="2277" max="2296" width="10.33203125" style="342" customWidth="1"/>
    <col min="2297" max="2297" width="27.08203125" style="342" bestFit="1" customWidth="1"/>
    <col min="2298" max="2298" width="13.5" style="342" customWidth="1"/>
    <col min="2299" max="2299" width="12.58203125" style="342" customWidth="1"/>
    <col min="2300" max="2300" width="15.25" style="342" customWidth="1"/>
    <col min="2301" max="2301" width="14.08203125" style="342" customWidth="1"/>
    <col min="2302" max="2302" width="17.75" style="342" customWidth="1"/>
    <col min="2303" max="2303" width="9" style="342" customWidth="1"/>
    <col min="2304" max="2304" width="4.5" style="342" customWidth="1"/>
    <col min="2305" max="2305" width="4.08203125" style="342" customWidth="1"/>
    <col min="2306" max="2308" width="10.33203125" style="342" customWidth="1"/>
    <col min="2309" max="2418" width="10.33203125" style="342"/>
    <col min="2419" max="2419" width="3.83203125" style="342" customWidth="1"/>
    <col min="2420" max="2420" width="18.58203125" style="342" customWidth="1"/>
    <col min="2421" max="2421" width="19.75" style="342" customWidth="1"/>
    <col min="2422" max="2422" width="8" style="342" customWidth="1"/>
    <col min="2423" max="2423" width="2.75" style="342" bestFit="1" customWidth="1"/>
    <col min="2424" max="2425" width="6.25" style="342" bestFit="1" customWidth="1"/>
    <col min="2426" max="2426" width="18.83203125" style="342" bestFit="1" customWidth="1"/>
    <col min="2427" max="2427" width="6.83203125" style="342" bestFit="1" customWidth="1"/>
    <col min="2428" max="2428" width="3.25" style="342" customWidth="1"/>
    <col min="2429" max="2429" width="7.5" style="342" customWidth="1"/>
    <col min="2430" max="2430" width="2.75" style="342" bestFit="1" customWidth="1"/>
    <col min="2431" max="2432" width="6.25" style="342" customWidth="1"/>
    <col min="2433" max="2433" width="4.5" style="342" bestFit="1" customWidth="1"/>
    <col min="2434" max="2434" width="11.25" style="342" customWidth="1"/>
    <col min="2435" max="2453" width="10.33203125" style="342" customWidth="1"/>
    <col min="2454" max="2454" width="27.08203125" style="342" customWidth="1"/>
    <col min="2455" max="2455" width="13.5" style="342" customWidth="1"/>
    <col min="2456" max="2456" width="12.58203125" style="342" customWidth="1"/>
    <col min="2457" max="2457" width="12.75" style="342" customWidth="1"/>
    <col min="2458" max="2458" width="14.08203125" style="342" customWidth="1"/>
    <col min="2459" max="2459" width="13.75" style="342" customWidth="1"/>
    <col min="2460" max="2460" width="9" style="342" customWidth="1"/>
    <col min="2461" max="2461" width="4.5" style="342" customWidth="1"/>
    <col min="2462" max="2464" width="10.33203125" style="342" customWidth="1"/>
    <col min="2465" max="2465" width="6.83203125" style="342" customWidth="1"/>
    <col min="2466" max="2485" width="10.33203125" style="342" customWidth="1"/>
    <col min="2486" max="2486" width="27.08203125" style="342" customWidth="1"/>
    <col min="2487" max="2487" width="13.5" style="342" customWidth="1"/>
    <col min="2488" max="2488" width="12.58203125" style="342" customWidth="1"/>
    <col min="2489" max="2489" width="12.75" style="342" customWidth="1"/>
    <col min="2490" max="2490" width="14.08203125" style="342" customWidth="1"/>
    <col min="2491" max="2491" width="13.75" style="342" customWidth="1"/>
    <col min="2492" max="2492" width="9" style="342" customWidth="1"/>
    <col min="2493" max="2493" width="4.5" style="342" customWidth="1"/>
    <col min="2494" max="2496" width="10.33203125" style="342" customWidth="1"/>
    <col min="2497" max="2497" width="6.25" style="342" customWidth="1"/>
    <col min="2498" max="2498" width="27.08203125" style="342" customWidth="1"/>
    <col min="2499" max="2499" width="13.5" style="342" customWidth="1"/>
    <col min="2500" max="2500" width="12.58203125" style="342" customWidth="1"/>
    <col min="2501" max="2501" width="17.08203125" style="342" customWidth="1"/>
    <col min="2502" max="2502" width="14.08203125" style="342" customWidth="1"/>
    <col min="2503" max="2503" width="13.75" style="342" customWidth="1"/>
    <col min="2504" max="2504" width="9" style="342" customWidth="1"/>
    <col min="2505" max="2506" width="4.5" style="342" customWidth="1"/>
    <col min="2507" max="2510" width="10.33203125" style="342" customWidth="1"/>
    <col min="2511" max="2511" width="27.08203125" style="342" customWidth="1"/>
    <col min="2512" max="2512" width="13.5" style="342" customWidth="1"/>
    <col min="2513" max="2513" width="12.58203125" style="342" customWidth="1"/>
    <col min="2514" max="2514" width="15.25" style="342" customWidth="1"/>
    <col min="2515" max="2515" width="14.08203125" style="342" customWidth="1"/>
    <col min="2516" max="2516" width="17.75" style="342" customWidth="1"/>
    <col min="2517" max="2517" width="9" style="342" customWidth="1"/>
    <col min="2518" max="2518" width="4.5" style="342" customWidth="1"/>
    <col min="2519" max="2519" width="4.33203125" style="342" customWidth="1"/>
    <col min="2520" max="2523" width="10.33203125" style="342" customWidth="1"/>
    <col min="2524" max="2524" width="27.08203125" style="342" customWidth="1"/>
    <col min="2525" max="2525" width="13.5" style="342" customWidth="1"/>
    <col min="2526" max="2526" width="12.58203125" style="342" customWidth="1"/>
    <col min="2527" max="2527" width="15.25" style="342" customWidth="1"/>
    <col min="2528" max="2528" width="14.08203125" style="342" customWidth="1"/>
    <col min="2529" max="2529" width="16.25" style="342" customWidth="1"/>
    <col min="2530" max="2530" width="9" style="342" customWidth="1"/>
    <col min="2531" max="2531" width="4.5" style="342" customWidth="1"/>
    <col min="2532" max="2532" width="4.08203125" style="342" customWidth="1"/>
    <col min="2533" max="2552" width="10.33203125" style="342" customWidth="1"/>
    <col min="2553" max="2553" width="27.08203125" style="342" bestFit="1" customWidth="1"/>
    <col min="2554" max="2554" width="13.5" style="342" customWidth="1"/>
    <col min="2555" max="2555" width="12.58203125" style="342" customWidth="1"/>
    <col min="2556" max="2556" width="15.25" style="342" customWidth="1"/>
    <col min="2557" max="2557" width="14.08203125" style="342" customWidth="1"/>
    <col min="2558" max="2558" width="17.75" style="342" customWidth="1"/>
    <col min="2559" max="2559" width="9" style="342" customWidth="1"/>
    <col min="2560" max="2560" width="4.5" style="342" customWidth="1"/>
    <col min="2561" max="2561" width="4.08203125" style="342" customWidth="1"/>
    <col min="2562" max="2564" width="10.33203125" style="342" customWidth="1"/>
    <col min="2565" max="2674" width="10.33203125" style="342"/>
    <col min="2675" max="2675" width="3.83203125" style="342" customWidth="1"/>
    <col min="2676" max="2676" width="18.58203125" style="342" customWidth="1"/>
    <col min="2677" max="2677" width="19.75" style="342" customWidth="1"/>
    <col min="2678" max="2678" width="8" style="342" customWidth="1"/>
    <col min="2679" max="2679" width="2.75" style="342" bestFit="1" customWidth="1"/>
    <col min="2680" max="2681" width="6.25" style="342" bestFit="1" customWidth="1"/>
    <col min="2682" max="2682" width="18.83203125" style="342" bestFit="1" customWidth="1"/>
    <col min="2683" max="2683" width="6.83203125" style="342" bestFit="1" customWidth="1"/>
    <col min="2684" max="2684" width="3.25" style="342" customWidth="1"/>
    <col min="2685" max="2685" width="7.5" style="342" customWidth="1"/>
    <col min="2686" max="2686" width="2.75" style="342" bestFit="1" customWidth="1"/>
    <col min="2687" max="2688" width="6.25" style="342" customWidth="1"/>
    <col min="2689" max="2689" width="4.5" style="342" bestFit="1" customWidth="1"/>
    <col min="2690" max="2690" width="11.25" style="342" customWidth="1"/>
    <col min="2691" max="2709" width="10.33203125" style="342" customWidth="1"/>
    <col min="2710" max="2710" width="27.08203125" style="342" customWidth="1"/>
    <col min="2711" max="2711" width="13.5" style="342" customWidth="1"/>
    <col min="2712" max="2712" width="12.58203125" style="342" customWidth="1"/>
    <col min="2713" max="2713" width="12.75" style="342" customWidth="1"/>
    <col min="2714" max="2714" width="14.08203125" style="342" customWidth="1"/>
    <col min="2715" max="2715" width="13.75" style="342" customWidth="1"/>
    <col min="2716" max="2716" width="9" style="342" customWidth="1"/>
    <col min="2717" max="2717" width="4.5" style="342" customWidth="1"/>
    <col min="2718" max="2720" width="10.33203125" style="342" customWidth="1"/>
    <col min="2721" max="2721" width="6.83203125" style="342" customWidth="1"/>
    <col min="2722" max="2741" width="10.33203125" style="342" customWidth="1"/>
    <col min="2742" max="2742" width="27.08203125" style="342" customWidth="1"/>
    <col min="2743" max="2743" width="13.5" style="342" customWidth="1"/>
    <col min="2744" max="2744" width="12.58203125" style="342" customWidth="1"/>
    <col min="2745" max="2745" width="12.75" style="342" customWidth="1"/>
    <col min="2746" max="2746" width="14.08203125" style="342" customWidth="1"/>
    <col min="2747" max="2747" width="13.75" style="342" customWidth="1"/>
    <col min="2748" max="2748" width="9" style="342" customWidth="1"/>
    <col min="2749" max="2749" width="4.5" style="342" customWidth="1"/>
    <col min="2750" max="2752" width="10.33203125" style="342" customWidth="1"/>
    <col min="2753" max="2753" width="6.25" style="342" customWidth="1"/>
    <col min="2754" max="2754" width="27.08203125" style="342" customWidth="1"/>
    <col min="2755" max="2755" width="13.5" style="342" customWidth="1"/>
    <col min="2756" max="2756" width="12.58203125" style="342" customWidth="1"/>
    <col min="2757" max="2757" width="17.08203125" style="342" customWidth="1"/>
    <col min="2758" max="2758" width="14.08203125" style="342" customWidth="1"/>
    <col min="2759" max="2759" width="13.75" style="342" customWidth="1"/>
    <col min="2760" max="2760" width="9" style="342" customWidth="1"/>
    <col min="2761" max="2762" width="4.5" style="342" customWidth="1"/>
    <col min="2763" max="2766" width="10.33203125" style="342" customWidth="1"/>
    <col min="2767" max="2767" width="27.08203125" style="342" customWidth="1"/>
    <col min="2768" max="2768" width="13.5" style="342" customWidth="1"/>
    <col min="2769" max="2769" width="12.58203125" style="342" customWidth="1"/>
    <col min="2770" max="2770" width="15.25" style="342" customWidth="1"/>
    <col min="2771" max="2771" width="14.08203125" style="342" customWidth="1"/>
    <col min="2772" max="2772" width="17.75" style="342" customWidth="1"/>
    <col min="2773" max="2773" width="9" style="342" customWidth="1"/>
    <col min="2774" max="2774" width="4.5" style="342" customWidth="1"/>
    <col min="2775" max="2775" width="4.33203125" style="342" customWidth="1"/>
    <col min="2776" max="2779" width="10.33203125" style="342" customWidth="1"/>
    <col min="2780" max="2780" width="27.08203125" style="342" customWidth="1"/>
    <col min="2781" max="2781" width="13.5" style="342" customWidth="1"/>
    <col min="2782" max="2782" width="12.58203125" style="342" customWidth="1"/>
    <col min="2783" max="2783" width="15.25" style="342" customWidth="1"/>
    <col min="2784" max="2784" width="14.08203125" style="342" customWidth="1"/>
    <col min="2785" max="2785" width="16.25" style="342" customWidth="1"/>
    <col min="2786" max="2786" width="9" style="342" customWidth="1"/>
    <col min="2787" max="2787" width="4.5" style="342" customWidth="1"/>
    <col min="2788" max="2788" width="4.08203125" style="342" customWidth="1"/>
    <col min="2789" max="2808" width="10.33203125" style="342" customWidth="1"/>
    <col min="2809" max="2809" width="27.08203125" style="342" bestFit="1" customWidth="1"/>
    <col min="2810" max="2810" width="13.5" style="342" customWidth="1"/>
    <col min="2811" max="2811" width="12.58203125" style="342" customWidth="1"/>
    <col min="2812" max="2812" width="15.25" style="342" customWidth="1"/>
    <col min="2813" max="2813" width="14.08203125" style="342" customWidth="1"/>
    <col min="2814" max="2814" width="17.75" style="342" customWidth="1"/>
    <col min="2815" max="2815" width="9" style="342" customWidth="1"/>
    <col min="2816" max="2816" width="4.5" style="342" customWidth="1"/>
    <col min="2817" max="2817" width="4.08203125" style="342" customWidth="1"/>
    <col min="2818" max="2820" width="10.33203125" style="342" customWidth="1"/>
    <col min="2821" max="2930" width="10.33203125" style="342"/>
    <col min="2931" max="2931" width="3.83203125" style="342" customWidth="1"/>
    <col min="2932" max="2932" width="18.58203125" style="342" customWidth="1"/>
    <col min="2933" max="2933" width="19.75" style="342" customWidth="1"/>
    <col min="2934" max="2934" width="8" style="342" customWidth="1"/>
    <col min="2935" max="2935" width="2.75" style="342" bestFit="1" customWidth="1"/>
    <col min="2936" max="2937" width="6.25" style="342" bestFit="1" customWidth="1"/>
    <col min="2938" max="2938" width="18.83203125" style="342" bestFit="1" customWidth="1"/>
    <col min="2939" max="2939" width="6.83203125" style="342" bestFit="1" customWidth="1"/>
    <col min="2940" max="2940" width="3.25" style="342" customWidth="1"/>
    <col min="2941" max="2941" width="7.5" style="342" customWidth="1"/>
    <col min="2942" max="2942" width="2.75" style="342" bestFit="1" customWidth="1"/>
    <col min="2943" max="2944" width="6.25" style="342" customWidth="1"/>
    <col min="2945" max="2945" width="4.5" style="342" bestFit="1" customWidth="1"/>
    <col min="2946" max="2946" width="11.25" style="342" customWidth="1"/>
    <col min="2947" max="2965" width="10.33203125" style="342" customWidth="1"/>
    <col min="2966" max="2966" width="27.08203125" style="342" customWidth="1"/>
    <col min="2967" max="2967" width="13.5" style="342" customWidth="1"/>
    <col min="2968" max="2968" width="12.58203125" style="342" customWidth="1"/>
    <col min="2969" max="2969" width="12.75" style="342" customWidth="1"/>
    <col min="2970" max="2970" width="14.08203125" style="342" customWidth="1"/>
    <col min="2971" max="2971" width="13.75" style="342" customWidth="1"/>
    <col min="2972" max="2972" width="9" style="342" customWidth="1"/>
    <col min="2973" max="2973" width="4.5" style="342" customWidth="1"/>
    <col min="2974" max="2976" width="10.33203125" style="342" customWidth="1"/>
    <col min="2977" max="2977" width="6.83203125" style="342" customWidth="1"/>
    <col min="2978" max="2997" width="10.33203125" style="342" customWidth="1"/>
    <col min="2998" max="2998" width="27.08203125" style="342" customWidth="1"/>
    <col min="2999" max="2999" width="13.5" style="342" customWidth="1"/>
    <col min="3000" max="3000" width="12.58203125" style="342" customWidth="1"/>
    <col min="3001" max="3001" width="12.75" style="342" customWidth="1"/>
    <col min="3002" max="3002" width="14.08203125" style="342" customWidth="1"/>
    <col min="3003" max="3003" width="13.75" style="342" customWidth="1"/>
    <col min="3004" max="3004" width="9" style="342" customWidth="1"/>
    <col min="3005" max="3005" width="4.5" style="342" customWidth="1"/>
    <col min="3006" max="3008" width="10.33203125" style="342" customWidth="1"/>
    <col min="3009" max="3009" width="6.25" style="342" customWidth="1"/>
    <col min="3010" max="3010" width="27.08203125" style="342" customWidth="1"/>
    <col min="3011" max="3011" width="13.5" style="342" customWidth="1"/>
    <col min="3012" max="3012" width="12.58203125" style="342" customWidth="1"/>
    <col min="3013" max="3013" width="17.08203125" style="342" customWidth="1"/>
    <col min="3014" max="3014" width="14.08203125" style="342" customWidth="1"/>
    <col min="3015" max="3015" width="13.75" style="342" customWidth="1"/>
    <col min="3016" max="3016" width="9" style="342" customWidth="1"/>
    <col min="3017" max="3018" width="4.5" style="342" customWidth="1"/>
    <col min="3019" max="3022" width="10.33203125" style="342" customWidth="1"/>
    <col min="3023" max="3023" width="27.08203125" style="342" customWidth="1"/>
    <col min="3024" max="3024" width="13.5" style="342" customWidth="1"/>
    <col min="3025" max="3025" width="12.58203125" style="342" customWidth="1"/>
    <col min="3026" max="3026" width="15.25" style="342" customWidth="1"/>
    <col min="3027" max="3027" width="14.08203125" style="342" customWidth="1"/>
    <col min="3028" max="3028" width="17.75" style="342" customWidth="1"/>
    <col min="3029" max="3029" width="9" style="342" customWidth="1"/>
    <col min="3030" max="3030" width="4.5" style="342" customWidth="1"/>
    <col min="3031" max="3031" width="4.33203125" style="342" customWidth="1"/>
    <col min="3032" max="3035" width="10.33203125" style="342" customWidth="1"/>
    <col min="3036" max="3036" width="27.08203125" style="342" customWidth="1"/>
    <col min="3037" max="3037" width="13.5" style="342" customWidth="1"/>
    <col min="3038" max="3038" width="12.58203125" style="342" customWidth="1"/>
    <col min="3039" max="3039" width="15.25" style="342" customWidth="1"/>
    <col min="3040" max="3040" width="14.08203125" style="342" customWidth="1"/>
    <col min="3041" max="3041" width="16.25" style="342" customWidth="1"/>
    <col min="3042" max="3042" width="9" style="342" customWidth="1"/>
    <col min="3043" max="3043" width="4.5" style="342" customWidth="1"/>
    <col min="3044" max="3044" width="4.08203125" style="342" customWidth="1"/>
    <col min="3045" max="3064" width="10.33203125" style="342" customWidth="1"/>
    <col min="3065" max="3065" width="27.08203125" style="342" bestFit="1" customWidth="1"/>
    <col min="3066" max="3066" width="13.5" style="342" customWidth="1"/>
    <col min="3067" max="3067" width="12.58203125" style="342" customWidth="1"/>
    <col min="3068" max="3068" width="15.25" style="342" customWidth="1"/>
    <col min="3069" max="3069" width="14.08203125" style="342" customWidth="1"/>
    <col min="3070" max="3070" width="17.75" style="342" customWidth="1"/>
    <col min="3071" max="3071" width="9" style="342" customWidth="1"/>
    <col min="3072" max="3072" width="4.5" style="342" customWidth="1"/>
    <col min="3073" max="3073" width="4.08203125" style="342" customWidth="1"/>
    <col min="3074" max="3076" width="10.33203125" style="342" customWidth="1"/>
    <col min="3077" max="3186" width="10.33203125" style="342"/>
    <col min="3187" max="3187" width="3.83203125" style="342" customWidth="1"/>
    <col min="3188" max="3188" width="18.58203125" style="342" customWidth="1"/>
    <col min="3189" max="3189" width="19.75" style="342" customWidth="1"/>
    <col min="3190" max="3190" width="8" style="342" customWidth="1"/>
    <col min="3191" max="3191" width="2.75" style="342" bestFit="1" customWidth="1"/>
    <col min="3192" max="3193" width="6.25" style="342" bestFit="1" customWidth="1"/>
    <col min="3194" max="3194" width="18.83203125" style="342" bestFit="1" customWidth="1"/>
    <col min="3195" max="3195" width="6.83203125" style="342" bestFit="1" customWidth="1"/>
    <col min="3196" max="3196" width="3.25" style="342" customWidth="1"/>
    <col min="3197" max="3197" width="7.5" style="342" customWidth="1"/>
    <col min="3198" max="3198" width="2.75" style="342" bestFit="1" customWidth="1"/>
    <col min="3199" max="3200" width="6.25" style="342" customWidth="1"/>
    <col min="3201" max="3201" width="4.5" style="342" bestFit="1" customWidth="1"/>
    <col min="3202" max="3202" width="11.25" style="342" customWidth="1"/>
    <col min="3203" max="3221" width="10.33203125" style="342" customWidth="1"/>
    <col min="3222" max="3222" width="27.08203125" style="342" customWidth="1"/>
    <col min="3223" max="3223" width="13.5" style="342" customWidth="1"/>
    <col min="3224" max="3224" width="12.58203125" style="342" customWidth="1"/>
    <col min="3225" max="3225" width="12.75" style="342" customWidth="1"/>
    <col min="3226" max="3226" width="14.08203125" style="342" customWidth="1"/>
    <col min="3227" max="3227" width="13.75" style="342" customWidth="1"/>
    <col min="3228" max="3228" width="9" style="342" customWidth="1"/>
    <col min="3229" max="3229" width="4.5" style="342" customWidth="1"/>
    <col min="3230" max="3232" width="10.33203125" style="342" customWidth="1"/>
    <col min="3233" max="3233" width="6.83203125" style="342" customWidth="1"/>
    <col min="3234" max="3253" width="10.33203125" style="342" customWidth="1"/>
    <col min="3254" max="3254" width="27.08203125" style="342" customWidth="1"/>
    <col min="3255" max="3255" width="13.5" style="342" customWidth="1"/>
    <col min="3256" max="3256" width="12.58203125" style="342" customWidth="1"/>
    <col min="3257" max="3257" width="12.75" style="342" customWidth="1"/>
    <col min="3258" max="3258" width="14.08203125" style="342" customWidth="1"/>
    <col min="3259" max="3259" width="13.75" style="342" customWidth="1"/>
    <col min="3260" max="3260" width="9" style="342" customWidth="1"/>
    <col min="3261" max="3261" width="4.5" style="342" customWidth="1"/>
    <col min="3262" max="3264" width="10.33203125" style="342" customWidth="1"/>
    <col min="3265" max="3265" width="6.25" style="342" customWidth="1"/>
    <col min="3266" max="3266" width="27.08203125" style="342" customWidth="1"/>
    <col min="3267" max="3267" width="13.5" style="342" customWidth="1"/>
    <col min="3268" max="3268" width="12.58203125" style="342" customWidth="1"/>
    <col min="3269" max="3269" width="17.08203125" style="342" customWidth="1"/>
    <col min="3270" max="3270" width="14.08203125" style="342" customWidth="1"/>
    <col min="3271" max="3271" width="13.75" style="342" customWidth="1"/>
    <col min="3272" max="3272" width="9" style="342" customWidth="1"/>
    <col min="3273" max="3274" width="4.5" style="342" customWidth="1"/>
    <col min="3275" max="3278" width="10.33203125" style="342" customWidth="1"/>
    <col min="3279" max="3279" width="27.08203125" style="342" customWidth="1"/>
    <col min="3280" max="3280" width="13.5" style="342" customWidth="1"/>
    <col min="3281" max="3281" width="12.58203125" style="342" customWidth="1"/>
    <col min="3282" max="3282" width="15.25" style="342" customWidth="1"/>
    <col min="3283" max="3283" width="14.08203125" style="342" customWidth="1"/>
    <col min="3284" max="3284" width="17.75" style="342" customWidth="1"/>
    <col min="3285" max="3285" width="9" style="342" customWidth="1"/>
    <col min="3286" max="3286" width="4.5" style="342" customWidth="1"/>
    <col min="3287" max="3287" width="4.33203125" style="342" customWidth="1"/>
    <col min="3288" max="3291" width="10.33203125" style="342" customWidth="1"/>
    <col min="3292" max="3292" width="27.08203125" style="342" customWidth="1"/>
    <col min="3293" max="3293" width="13.5" style="342" customWidth="1"/>
    <col min="3294" max="3294" width="12.58203125" style="342" customWidth="1"/>
    <col min="3295" max="3295" width="15.25" style="342" customWidth="1"/>
    <col min="3296" max="3296" width="14.08203125" style="342" customWidth="1"/>
    <col min="3297" max="3297" width="16.25" style="342" customWidth="1"/>
    <col min="3298" max="3298" width="9" style="342" customWidth="1"/>
    <col min="3299" max="3299" width="4.5" style="342" customWidth="1"/>
    <col min="3300" max="3300" width="4.08203125" style="342" customWidth="1"/>
    <col min="3301" max="3320" width="10.33203125" style="342" customWidth="1"/>
    <col min="3321" max="3321" width="27.08203125" style="342" bestFit="1" customWidth="1"/>
    <col min="3322" max="3322" width="13.5" style="342" customWidth="1"/>
    <col min="3323" max="3323" width="12.58203125" style="342" customWidth="1"/>
    <col min="3324" max="3324" width="15.25" style="342" customWidth="1"/>
    <col min="3325" max="3325" width="14.08203125" style="342" customWidth="1"/>
    <col min="3326" max="3326" width="17.75" style="342" customWidth="1"/>
    <col min="3327" max="3327" width="9" style="342" customWidth="1"/>
    <col min="3328" max="3328" width="4.5" style="342" customWidth="1"/>
    <col min="3329" max="3329" width="4.08203125" style="342" customWidth="1"/>
    <col min="3330" max="3332" width="10.33203125" style="342" customWidth="1"/>
    <col min="3333" max="3442" width="10.33203125" style="342"/>
    <col min="3443" max="3443" width="3.83203125" style="342" customWidth="1"/>
    <col min="3444" max="3444" width="18.58203125" style="342" customWidth="1"/>
    <col min="3445" max="3445" width="19.75" style="342" customWidth="1"/>
    <col min="3446" max="3446" width="8" style="342" customWidth="1"/>
    <col min="3447" max="3447" width="2.75" style="342" bestFit="1" customWidth="1"/>
    <col min="3448" max="3449" width="6.25" style="342" bestFit="1" customWidth="1"/>
    <col min="3450" max="3450" width="18.83203125" style="342" bestFit="1" customWidth="1"/>
    <col min="3451" max="3451" width="6.83203125" style="342" bestFit="1" customWidth="1"/>
    <col min="3452" max="3452" width="3.25" style="342" customWidth="1"/>
    <col min="3453" max="3453" width="7.5" style="342" customWidth="1"/>
    <col min="3454" max="3454" width="2.75" style="342" bestFit="1" customWidth="1"/>
    <col min="3455" max="3456" width="6.25" style="342" customWidth="1"/>
    <col min="3457" max="3457" width="4.5" style="342" bestFit="1" customWidth="1"/>
    <col min="3458" max="3458" width="11.25" style="342" customWidth="1"/>
    <col min="3459" max="3477" width="10.33203125" style="342" customWidth="1"/>
    <col min="3478" max="3478" width="27.08203125" style="342" customWidth="1"/>
    <col min="3479" max="3479" width="13.5" style="342" customWidth="1"/>
    <col min="3480" max="3480" width="12.58203125" style="342" customWidth="1"/>
    <col min="3481" max="3481" width="12.75" style="342" customWidth="1"/>
    <col min="3482" max="3482" width="14.08203125" style="342" customWidth="1"/>
    <col min="3483" max="3483" width="13.75" style="342" customWidth="1"/>
    <col min="3484" max="3484" width="9" style="342" customWidth="1"/>
    <col min="3485" max="3485" width="4.5" style="342" customWidth="1"/>
    <col min="3486" max="3488" width="10.33203125" style="342" customWidth="1"/>
    <col min="3489" max="3489" width="6.83203125" style="342" customWidth="1"/>
    <col min="3490" max="3509" width="10.33203125" style="342" customWidth="1"/>
    <col min="3510" max="3510" width="27.08203125" style="342" customWidth="1"/>
    <col min="3511" max="3511" width="13.5" style="342" customWidth="1"/>
    <col min="3512" max="3512" width="12.58203125" style="342" customWidth="1"/>
    <col min="3513" max="3513" width="12.75" style="342" customWidth="1"/>
    <col min="3514" max="3514" width="14.08203125" style="342" customWidth="1"/>
    <col min="3515" max="3515" width="13.75" style="342" customWidth="1"/>
    <col min="3516" max="3516" width="9" style="342" customWidth="1"/>
    <col min="3517" max="3517" width="4.5" style="342" customWidth="1"/>
    <col min="3518" max="3520" width="10.33203125" style="342" customWidth="1"/>
    <col min="3521" max="3521" width="6.25" style="342" customWidth="1"/>
    <col min="3522" max="3522" width="27.08203125" style="342" customWidth="1"/>
    <col min="3523" max="3523" width="13.5" style="342" customWidth="1"/>
    <col min="3524" max="3524" width="12.58203125" style="342" customWidth="1"/>
    <col min="3525" max="3525" width="17.08203125" style="342" customWidth="1"/>
    <col min="3526" max="3526" width="14.08203125" style="342" customWidth="1"/>
    <col min="3527" max="3527" width="13.75" style="342" customWidth="1"/>
    <col min="3528" max="3528" width="9" style="342" customWidth="1"/>
    <col min="3529" max="3530" width="4.5" style="342" customWidth="1"/>
    <col min="3531" max="3534" width="10.33203125" style="342" customWidth="1"/>
    <col min="3535" max="3535" width="27.08203125" style="342" customWidth="1"/>
    <col min="3536" max="3536" width="13.5" style="342" customWidth="1"/>
    <col min="3537" max="3537" width="12.58203125" style="342" customWidth="1"/>
    <col min="3538" max="3538" width="15.25" style="342" customWidth="1"/>
    <col min="3539" max="3539" width="14.08203125" style="342" customWidth="1"/>
    <col min="3540" max="3540" width="17.75" style="342" customWidth="1"/>
    <col min="3541" max="3541" width="9" style="342" customWidth="1"/>
    <col min="3542" max="3542" width="4.5" style="342" customWidth="1"/>
    <col min="3543" max="3543" width="4.33203125" style="342" customWidth="1"/>
    <col min="3544" max="3547" width="10.33203125" style="342" customWidth="1"/>
    <col min="3548" max="3548" width="27.08203125" style="342" customWidth="1"/>
    <col min="3549" max="3549" width="13.5" style="342" customWidth="1"/>
    <col min="3550" max="3550" width="12.58203125" style="342" customWidth="1"/>
    <col min="3551" max="3551" width="15.25" style="342" customWidth="1"/>
    <col min="3552" max="3552" width="14.08203125" style="342" customWidth="1"/>
    <col min="3553" max="3553" width="16.25" style="342" customWidth="1"/>
    <col min="3554" max="3554" width="9" style="342" customWidth="1"/>
    <col min="3555" max="3555" width="4.5" style="342" customWidth="1"/>
    <col min="3556" max="3556" width="4.08203125" style="342" customWidth="1"/>
    <col min="3557" max="3576" width="10.33203125" style="342" customWidth="1"/>
    <col min="3577" max="3577" width="27.08203125" style="342" bestFit="1" customWidth="1"/>
    <col min="3578" max="3578" width="13.5" style="342" customWidth="1"/>
    <col min="3579" max="3579" width="12.58203125" style="342" customWidth="1"/>
    <col min="3580" max="3580" width="15.25" style="342" customWidth="1"/>
    <col min="3581" max="3581" width="14.08203125" style="342" customWidth="1"/>
    <col min="3582" max="3582" width="17.75" style="342" customWidth="1"/>
    <col min="3583" max="3583" width="9" style="342" customWidth="1"/>
    <col min="3584" max="3584" width="4.5" style="342" customWidth="1"/>
    <col min="3585" max="3585" width="4.08203125" style="342" customWidth="1"/>
    <col min="3586" max="3588" width="10.33203125" style="342" customWidth="1"/>
    <col min="3589" max="3698" width="10.33203125" style="342"/>
    <col min="3699" max="3699" width="3.83203125" style="342" customWidth="1"/>
    <col min="3700" max="3700" width="18.58203125" style="342" customWidth="1"/>
    <col min="3701" max="3701" width="19.75" style="342" customWidth="1"/>
    <col min="3702" max="3702" width="8" style="342" customWidth="1"/>
    <col min="3703" max="3703" width="2.75" style="342" bestFit="1" customWidth="1"/>
    <col min="3704" max="3705" width="6.25" style="342" bestFit="1" customWidth="1"/>
    <col min="3706" max="3706" width="18.83203125" style="342" bestFit="1" customWidth="1"/>
    <col min="3707" max="3707" width="6.83203125" style="342" bestFit="1" customWidth="1"/>
    <col min="3708" max="3708" width="3.25" style="342" customWidth="1"/>
    <col min="3709" max="3709" width="7.5" style="342" customWidth="1"/>
    <col min="3710" max="3710" width="2.75" style="342" bestFit="1" customWidth="1"/>
    <col min="3711" max="3712" width="6.25" style="342" customWidth="1"/>
    <col min="3713" max="3713" width="4.5" style="342" bestFit="1" customWidth="1"/>
    <col min="3714" max="3714" width="11.25" style="342" customWidth="1"/>
    <col min="3715" max="3733" width="10.33203125" style="342" customWidth="1"/>
    <col min="3734" max="3734" width="27.08203125" style="342" customWidth="1"/>
    <col min="3735" max="3735" width="13.5" style="342" customWidth="1"/>
    <col min="3736" max="3736" width="12.58203125" style="342" customWidth="1"/>
    <col min="3737" max="3737" width="12.75" style="342" customWidth="1"/>
    <col min="3738" max="3738" width="14.08203125" style="342" customWidth="1"/>
    <col min="3739" max="3739" width="13.75" style="342" customWidth="1"/>
    <col min="3740" max="3740" width="9" style="342" customWidth="1"/>
    <col min="3741" max="3741" width="4.5" style="342" customWidth="1"/>
    <col min="3742" max="3744" width="10.33203125" style="342" customWidth="1"/>
    <col min="3745" max="3745" width="6.83203125" style="342" customWidth="1"/>
    <col min="3746" max="3765" width="10.33203125" style="342" customWidth="1"/>
    <col min="3766" max="3766" width="27.08203125" style="342" customWidth="1"/>
    <col min="3767" max="3767" width="13.5" style="342" customWidth="1"/>
    <col min="3768" max="3768" width="12.58203125" style="342" customWidth="1"/>
    <col min="3769" max="3769" width="12.75" style="342" customWidth="1"/>
    <col min="3770" max="3770" width="14.08203125" style="342" customWidth="1"/>
    <col min="3771" max="3771" width="13.75" style="342" customWidth="1"/>
    <col min="3772" max="3772" width="9" style="342" customWidth="1"/>
    <col min="3773" max="3773" width="4.5" style="342" customWidth="1"/>
    <col min="3774" max="3776" width="10.33203125" style="342" customWidth="1"/>
    <col min="3777" max="3777" width="6.25" style="342" customWidth="1"/>
    <col min="3778" max="3778" width="27.08203125" style="342" customWidth="1"/>
    <col min="3779" max="3779" width="13.5" style="342" customWidth="1"/>
    <col min="3780" max="3780" width="12.58203125" style="342" customWidth="1"/>
    <col min="3781" max="3781" width="17.08203125" style="342" customWidth="1"/>
    <col min="3782" max="3782" width="14.08203125" style="342" customWidth="1"/>
    <col min="3783" max="3783" width="13.75" style="342" customWidth="1"/>
    <col min="3784" max="3784" width="9" style="342" customWidth="1"/>
    <col min="3785" max="3786" width="4.5" style="342" customWidth="1"/>
    <col min="3787" max="3790" width="10.33203125" style="342" customWidth="1"/>
    <col min="3791" max="3791" width="27.08203125" style="342" customWidth="1"/>
    <col min="3792" max="3792" width="13.5" style="342" customWidth="1"/>
    <col min="3793" max="3793" width="12.58203125" style="342" customWidth="1"/>
    <col min="3794" max="3794" width="15.25" style="342" customWidth="1"/>
    <col min="3795" max="3795" width="14.08203125" style="342" customWidth="1"/>
    <col min="3796" max="3796" width="17.75" style="342" customWidth="1"/>
    <col min="3797" max="3797" width="9" style="342" customWidth="1"/>
    <col min="3798" max="3798" width="4.5" style="342" customWidth="1"/>
    <col min="3799" max="3799" width="4.33203125" style="342" customWidth="1"/>
    <col min="3800" max="3803" width="10.33203125" style="342" customWidth="1"/>
    <col min="3804" max="3804" width="27.08203125" style="342" customWidth="1"/>
    <col min="3805" max="3805" width="13.5" style="342" customWidth="1"/>
    <col min="3806" max="3806" width="12.58203125" style="342" customWidth="1"/>
    <col min="3807" max="3807" width="15.25" style="342" customWidth="1"/>
    <col min="3808" max="3808" width="14.08203125" style="342" customWidth="1"/>
    <col min="3809" max="3809" width="16.25" style="342" customWidth="1"/>
    <col min="3810" max="3810" width="9" style="342" customWidth="1"/>
    <col min="3811" max="3811" width="4.5" style="342" customWidth="1"/>
    <col min="3812" max="3812" width="4.08203125" style="342" customWidth="1"/>
    <col min="3813" max="3832" width="10.33203125" style="342" customWidth="1"/>
    <col min="3833" max="3833" width="27.08203125" style="342" bestFit="1" customWidth="1"/>
    <col min="3834" max="3834" width="13.5" style="342" customWidth="1"/>
    <col min="3835" max="3835" width="12.58203125" style="342" customWidth="1"/>
    <col min="3836" max="3836" width="15.25" style="342" customWidth="1"/>
    <col min="3837" max="3837" width="14.08203125" style="342" customWidth="1"/>
    <col min="3838" max="3838" width="17.75" style="342" customWidth="1"/>
    <col min="3839" max="3839" width="9" style="342" customWidth="1"/>
    <col min="3840" max="3840" width="4.5" style="342" customWidth="1"/>
    <col min="3841" max="3841" width="4.08203125" style="342" customWidth="1"/>
    <col min="3842" max="3844" width="10.33203125" style="342" customWidth="1"/>
    <col min="3845" max="3954" width="10.33203125" style="342"/>
    <col min="3955" max="3955" width="3.83203125" style="342" customWidth="1"/>
    <col min="3956" max="3956" width="18.58203125" style="342" customWidth="1"/>
    <col min="3957" max="3957" width="19.75" style="342" customWidth="1"/>
    <col min="3958" max="3958" width="8" style="342" customWidth="1"/>
    <col min="3959" max="3959" width="2.75" style="342" bestFit="1" customWidth="1"/>
    <col min="3960" max="3961" width="6.25" style="342" bestFit="1" customWidth="1"/>
    <col min="3962" max="3962" width="18.83203125" style="342" bestFit="1" customWidth="1"/>
    <col min="3963" max="3963" width="6.83203125" style="342" bestFit="1" customWidth="1"/>
    <col min="3964" max="3964" width="3.25" style="342" customWidth="1"/>
    <col min="3965" max="3965" width="7.5" style="342" customWidth="1"/>
    <col min="3966" max="3966" width="2.75" style="342" bestFit="1" customWidth="1"/>
    <col min="3967" max="3968" width="6.25" style="342" customWidth="1"/>
    <col min="3969" max="3969" width="4.5" style="342" bestFit="1" customWidth="1"/>
    <col min="3970" max="3970" width="11.25" style="342" customWidth="1"/>
    <col min="3971" max="3989" width="10.33203125" style="342" customWidth="1"/>
    <col min="3990" max="3990" width="27.08203125" style="342" customWidth="1"/>
    <col min="3991" max="3991" width="13.5" style="342" customWidth="1"/>
    <col min="3992" max="3992" width="12.58203125" style="342" customWidth="1"/>
    <col min="3993" max="3993" width="12.75" style="342" customWidth="1"/>
    <col min="3994" max="3994" width="14.08203125" style="342" customWidth="1"/>
    <col min="3995" max="3995" width="13.75" style="342" customWidth="1"/>
    <col min="3996" max="3996" width="9" style="342" customWidth="1"/>
    <col min="3997" max="3997" width="4.5" style="342" customWidth="1"/>
    <col min="3998" max="4000" width="10.33203125" style="342" customWidth="1"/>
    <col min="4001" max="4001" width="6.83203125" style="342" customWidth="1"/>
    <col min="4002" max="4021" width="10.33203125" style="342" customWidth="1"/>
    <col min="4022" max="4022" width="27.08203125" style="342" customWidth="1"/>
    <col min="4023" max="4023" width="13.5" style="342" customWidth="1"/>
    <col min="4024" max="4024" width="12.58203125" style="342" customWidth="1"/>
    <col min="4025" max="4025" width="12.75" style="342" customWidth="1"/>
    <col min="4026" max="4026" width="14.08203125" style="342" customWidth="1"/>
    <col min="4027" max="4027" width="13.75" style="342" customWidth="1"/>
    <col min="4028" max="4028" width="9" style="342" customWidth="1"/>
    <col min="4029" max="4029" width="4.5" style="342" customWidth="1"/>
    <col min="4030" max="4032" width="10.33203125" style="342" customWidth="1"/>
    <col min="4033" max="4033" width="6.25" style="342" customWidth="1"/>
    <col min="4034" max="4034" width="27.08203125" style="342" customWidth="1"/>
    <col min="4035" max="4035" width="13.5" style="342" customWidth="1"/>
    <col min="4036" max="4036" width="12.58203125" style="342" customWidth="1"/>
    <col min="4037" max="4037" width="17.08203125" style="342" customWidth="1"/>
    <col min="4038" max="4038" width="14.08203125" style="342" customWidth="1"/>
    <col min="4039" max="4039" width="13.75" style="342" customWidth="1"/>
    <col min="4040" max="4040" width="9" style="342" customWidth="1"/>
    <col min="4041" max="4042" width="4.5" style="342" customWidth="1"/>
    <col min="4043" max="4046" width="10.33203125" style="342" customWidth="1"/>
    <col min="4047" max="4047" width="27.08203125" style="342" customWidth="1"/>
    <col min="4048" max="4048" width="13.5" style="342" customWidth="1"/>
    <col min="4049" max="4049" width="12.58203125" style="342" customWidth="1"/>
    <col min="4050" max="4050" width="15.25" style="342" customWidth="1"/>
    <col min="4051" max="4051" width="14.08203125" style="342" customWidth="1"/>
    <col min="4052" max="4052" width="17.75" style="342" customWidth="1"/>
    <col min="4053" max="4053" width="9" style="342" customWidth="1"/>
    <col min="4054" max="4054" width="4.5" style="342" customWidth="1"/>
    <col min="4055" max="4055" width="4.33203125" style="342" customWidth="1"/>
    <col min="4056" max="4059" width="10.33203125" style="342" customWidth="1"/>
    <col min="4060" max="4060" width="27.08203125" style="342" customWidth="1"/>
    <col min="4061" max="4061" width="13.5" style="342" customWidth="1"/>
    <col min="4062" max="4062" width="12.58203125" style="342" customWidth="1"/>
    <col min="4063" max="4063" width="15.25" style="342" customWidth="1"/>
    <col min="4064" max="4064" width="14.08203125" style="342" customWidth="1"/>
    <col min="4065" max="4065" width="16.25" style="342" customWidth="1"/>
    <col min="4066" max="4066" width="9" style="342" customWidth="1"/>
    <col min="4067" max="4067" width="4.5" style="342" customWidth="1"/>
    <col min="4068" max="4068" width="4.08203125" style="342" customWidth="1"/>
    <col min="4069" max="4088" width="10.33203125" style="342" customWidth="1"/>
    <col min="4089" max="4089" width="27.08203125" style="342" bestFit="1" customWidth="1"/>
    <col min="4090" max="4090" width="13.5" style="342" customWidth="1"/>
    <col min="4091" max="4091" width="12.58203125" style="342" customWidth="1"/>
    <col min="4092" max="4092" width="15.25" style="342" customWidth="1"/>
    <col min="4093" max="4093" width="14.08203125" style="342" customWidth="1"/>
    <col min="4094" max="4094" width="17.75" style="342" customWidth="1"/>
    <col min="4095" max="4095" width="9" style="342" customWidth="1"/>
    <col min="4096" max="4096" width="4.5" style="342" customWidth="1"/>
    <col min="4097" max="4097" width="4.08203125" style="342" customWidth="1"/>
    <col min="4098" max="4100" width="10.33203125" style="342" customWidth="1"/>
    <col min="4101" max="4210" width="10.33203125" style="342"/>
    <col min="4211" max="4211" width="3.83203125" style="342" customWidth="1"/>
    <col min="4212" max="4212" width="18.58203125" style="342" customWidth="1"/>
    <col min="4213" max="4213" width="19.75" style="342" customWidth="1"/>
    <col min="4214" max="4214" width="8" style="342" customWidth="1"/>
    <col min="4215" max="4215" width="2.75" style="342" bestFit="1" customWidth="1"/>
    <col min="4216" max="4217" width="6.25" style="342" bestFit="1" customWidth="1"/>
    <col min="4218" max="4218" width="18.83203125" style="342" bestFit="1" customWidth="1"/>
    <col min="4219" max="4219" width="6.83203125" style="342" bestFit="1" customWidth="1"/>
    <col min="4220" max="4220" width="3.25" style="342" customWidth="1"/>
    <col min="4221" max="4221" width="7.5" style="342" customWidth="1"/>
    <col min="4222" max="4222" width="2.75" style="342" bestFit="1" customWidth="1"/>
    <col min="4223" max="4224" width="6.25" style="342" customWidth="1"/>
    <col min="4225" max="4225" width="4.5" style="342" bestFit="1" customWidth="1"/>
    <col min="4226" max="4226" width="11.25" style="342" customWidth="1"/>
    <col min="4227" max="4245" width="10.33203125" style="342" customWidth="1"/>
    <col min="4246" max="4246" width="27.08203125" style="342" customWidth="1"/>
    <col min="4247" max="4247" width="13.5" style="342" customWidth="1"/>
    <col min="4248" max="4248" width="12.58203125" style="342" customWidth="1"/>
    <col min="4249" max="4249" width="12.75" style="342" customWidth="1"/>
    <col min="4250" max="4250" width="14.08203125" style="342" customWidth="1"/>
    <col min="4251" max="4251" width="13.75" style="342" customWidth="1"/>
    <col min="4252" max="4252" width="9" style="342" customWidth="1"/>
    <col min="4253" max="4253" width="4.5" style="342" customWidth="1"/>
    <col min="4254" max="4256" width="10.33203125" style="342" customWidth="1"/>
    <col min="4257" max="4257" width="6.83203125" style="342" customWidth="1"/>
    <col min="4258" max="4277" width="10.33203125" style="342" customWidth="1"/>
    <col min="4278" max="4278" width="27.08203125" style="342" customWidth="1"/>
    <col min="4279" max="4279" width="13.5" style="342" customWidth="1"/>
    <col min="4280" max="4280" width="12.58203125" style="342" customWidth="1"/>
    <col min="4281" max="4281" width="12.75" style="342" customWidth="1"/>
    <col min="4282" max="4282" width="14.08203125" style="342" customWidth="1"/>
    <col min="4283" max="4283" width="13.75" style="342" customWidth="1"/>
    <col min="4284" max="4284" width="9" style="342" customWidth="1"/>
    <col min="4285" max="4285" width="4.5" style="342" customWidth="1"/>
    <col min="4286" max="4288" width="10.33203125" style="342" customWidth="1"/>
    <col min="4289" max="4289" width="6.25" style="342" customWidth="1"/>
    <col min="4290" max="4290" width="27.08203125" style="342" customWidth="1"/>
    <col min="4291" max="4291" width="13.5" style="342" customWidth="1"/>
    <col min="4292" max="4292" width="12.58203125" style="342" customWidth="1"/>
    <col min="4293" max="4293" width="17.08203125" style="342" customWidth="1"/>
    <col min="4294" max="4294" width="14.08203125" style="342" customWidth="1"/>
    <col min="4295" max="4295" width="13.75" style="342" customWidth="1"/>
    <col min="4296" max="4296" width="9" style="342" customWidth="1"/>
    <col min="4297" max="4298" width="4.5" style="342" customWidth="1"/>
    <col min="4299" max="4302" width="10.33203125" style="342" customWidth="1"/>
    <col min="4303" max="4303" width="27.08203125" style="342" customWidth="1"/>
    <col min="4304" max="4304" width="13.5" style="342" customWidth="1"/>
    <col min="4305" max="4305" width="12.58203125" style="342" customWidth="1"/>
    <col min="4306" max="4306" width="15.25" style="342" customWidth="1"/>
    <col min="4307" max="4307" width="14.08203125" style="342" customWidth="1"/>
    <col min="4308" max="4308" width="17.75" style="342" customWidth="1"/>
    <col min="4309" max="4309" width="9" style="342" customWidth="1"/>
    <col min="4310" max="4310" width="4.5" style="342" customWidth="1"/>
    <col min="4311" max="4311" width="4.33203125" style="342" customWidth="1"/>
    <col min="4312" max="4315" width="10.33203125" style="342" customWidth="1"/>
    <col min="4316" max="4316" width="27.08203125" style="342" customWidth="1"/>
    <col min="4317" max="4317" width="13.5" style="342" customWidth="1"/>
    <col min="4318" max="4318" width="12.58203125" style="342" customWidth="1"/>
    <col min="4319" max="4319" width="15.25" style="342" customWidth="1"/>
    <col min="4320" max="4320" width="14.08203125" style="342" customWidth="1"/>
    <col min="4321" max="4321" width="16.25" style="342" customWidth="1"/>
    <col min="4322" max="4322" width="9" style="342" customWidth="1"/>
    <col min="4323" max="4323" width="4.5" style="342" customWidth="1"/>
    <col min="4324" max="4324" width="4.08203125" style="342" customWidth="1"/>
    <col min="4325" max="4344" width="10.33203125" style="342" customWidth="1"/>
    <col min="4345" max="4345" width="27.08203125" style="342" bestFit="1" customWidth="1"/>
    <col min="4346" max="4346" width="13.5" style="342" customWidth="1"/>
    <col min="4347" max="4347" width="12.58203125" style="342" customWidth="1"/>
    <col min="4348" max="4348" width="15.25" style="342" customWidth="1"/>
    <col min="4349" max="4349" width="14.08203125" style="342" customWidth="1"/>
    <col min="4350" max="4350" width="17.75" style="342" customWidth="1"/>
    <col min="4351" max="4351" width="9" style="342" customWidth="1"/>
    <col min="4352" max="4352" width="4.5" style="342" customWidth="1"/>
    <col min="4353" max="4353" width="4.08203125" style="342" customWidth="1"/>
    <col min="4354" max="4356" width="10.33203125" style="342" customWidth="1"/>
    <col min="4357" max="4466" width="10.33203125" style="342"/>
    <col min="4467" max="4467" width="3.83203125" style="342" customWidth="1"/>
    <col min="4468" max="4468" width="18.58203125" style="342" customWidth="1"/>
    <col min="4469" max="4469" width="19.75" style="342" customWidth="1"/>
    <col min="4470" max="4470" width="8" style="342" customWidth="1"/>
    <col min="4471" max="4471" width="2.75" style="342" bestFit="1" customWidth="1"/>
    <col min="4472" max="4473" width="6.25" style="342" bestFit="1" customWidth="1"/>
    <col min="4474" max="4474" width="18.83203125" style="342" bestFit="1" customWidth="1"/>
    <col min="4475" max="4475" width="6.83203125" style="342" bestFit="1" customWidth="1"/>
    <col min="4476" max="4476" width="3.25" style="342" customWidth="1"/>
    <col min="4477" max="4477" width="7.5" style="342" customWidth="1"/>
    <col min="4478" max="4478" width="2.75" style="342" bestFit="1" customWidth="1"/>
    <col min="4479" max="4480" width="6.25" style="342" customWidth="1"/>
    <col min="4481" max="4481" width="4.5" style="342" bestFit="1" customWidth="1"/>
    <col min="4482" max="4482" width="11.25" style="342" customWidth="1"/>
    <col min="4483" max="4501" width="10.33203125" style="342" customWidth="1"/>
    <col min="4502" max="4502" width="27.08203125" style="342" customWidth="1"/>
    <col min="4503" max="4503" width="13.5" style="342" customWidth="1"/>
    <col min="4504" max="4504" width="12.58203125" style="342" customWidth="1"/>
    <col min="4505" max="4505" width="12.75" style="342" customWidth="1"/>
    <col min="4506" max="4506" width="14.08203125" style="342" customWidth="1"/>
    <col min="4507" max="4507" width="13.75" style="342" customWidth="1"/>
    <col min="4508" max="4508" width="9" style="342" customWidth="1"/>
    <col min="4509" max="4509" width="4.5" style="342" customWidth="1"/>
    <col min="4510" max="4512" width="10.33203125" style="342" customWidth="1"/>
    <col min="4513" max="4513" width="6.83203125" style="342" customWidth="1"/>
    <col min="4514" max="4533" width="10.33203125" style="342" customWidth="1"/>
    <col min="4534" max="4534" width="27.08203125" style="342" customWidth="1"/>
    <col min="4535" max="4535" width="13.5" style="342" customWidth="1"/>
    <col min="4536" max="4536" width="12.58203125" style="342" customWidth="1"/>
    <col min="4537" max="4537" width="12.75" style="342" customWidth="1"/>
    <col min="4538" max="4538" width="14.08203125" style="342" customWidth="1"/>
    <col min="4539" max="4539" width="13.75" style="342" customWidth="1"/>
    <col min="4540" max="4540" width="9" style="342" customWidth="1"/>
    <col min="4541" max="4541" width="4.5" style="342" customWidth="1"/>
    <col min="4542" max="4544" width="10.33203125" style="342" customWidth="1"/>
    <col min="4545" max="4545" width="6.25" style="342" customWidth="1"/>
    <col min="4546" max="4546" width="27.08203125" style="342" customWidth="1"/>
    <col min="4547" max="4547" width="13.5" style="342" customWidth="1"/>
    <col min="4548" max="4548" width="12.58203125" style="342" customWidth="1"/>
    <col min="4549" max="4549" width="17.08203125" style="342" customWidth="1"/>
    <col min="4550" max="4550" width="14.08203125" style="342" customWidth="1"/>
    <col min="4551" max="4551" width="13.75" style="342" customWidth="1"/>
    <col min="4552" max="4552" width="9" style="342" customWidth="1"/>
    <col min="4553" max="4554" width="4.5" style="342" customWidth="1"/>
    <col min="4555" max="4558" width="10.33203125" style="342" customWidth="1"/>
    <col min="4559" max="4559" width="27.08203125" style="342" customWidth="1"/>
    <col min="4560" max="4560" width="13.5" style="342" customWidth="1"/>
    <col min="4561" max="4561" width="12.58203125" style="342" customWidth="1"/>
    <col min="4562" max="4562" width="15.25" style="342" customWidth="1"/>
    <col min="4563" max="4563" width="14.08203125" style="342" customWidth="1"/>
    <col min="4564" max="4564" width="17.75" style="342" customWidth="1"/>
    <col min="4565" max="4565" width="9" style="342" customWidth="1"/>
    <col min="4566" max="4566" width="4.5" style="342" customWidth="1"/>
    <col min="4567" max="4567" width="4.33203125" style="342" customWidth="1"/>
    <col min="4568" max="4571" width="10.33203125" style="342" customWidth="1"/>
    <col min="4572" max="4572" width="27.08203125" style="342" customWidth="1"/>
    <col min="4573" max="4573" width="13.5" style="342" customWidth="1"/>
    <col min="4574" max="4574" width="12.58203125" style="342" customWidth="1"/>
    <col min="4575" max="4575" width="15.25" style="342" customWidth="1"/>
    <col min="4576" max="4576" width="14.08203125" style="342" customWidth="1"/>
    <col min="4577" max="4577" width="16.25" style="342" customWidth="1"/>
    <col min="4578" max="4578" width="9" style="342" customWidth="1"/>
    <col min="4579" max="4579" width="4.5" style="342" customWidth="1"/>
    <col min="4580" max="4580" width="4.08203125" style="342" customWidth="1"/>
    <col min="4581" max="4600" width="10.33203125" style="342" customWidth="1"/>
    <col min="4601" max="4601" width="27.08203125" style="342" bestFit="1" customWidth="1"/>
    <col min="4602" max="4602" width="13.5" style="342" customWidth="1"/>
    <col min="4603" max="4603" width="12.58203125" style="342" customWidth="1"/>
    <col min="4604" max="4604" width="15.25" style="342" customWidth="1"/>
    <col min="4605" max="4605" width="14.08203125" style="342" customWidth="1"/>
    <col min="4606" max="4606" width="17.75" style="342" customWidth="1"/>
    <col min="4607" max="4607" width="9" style="342" customWidth="1"/>
    <col min="4608" max="4608" width="4.5" style="342" customWidth="1"/>
    <col min="4609" max="4609" width="4.08203125" style="342" customWidth="1"/>
    <col min="4610" max="4612" width="10.33203125" style="342" customWidth="1"/>
    <col min="4613" max="4722" width="10.33203125" style="342"/>
    <col min="4723" max="4723" width="3.83203125" style="342" customWidth="1"/>
    <col min="4724" max="4724" width="18.58203125" style="342" customWidth="1"/>
    <col min="4725" max="4725" width="19.75" style="342" customWidth="1"/>
    <col min="4726" max="4726" width="8" style="342" customWidth="1"/>
    <col min="4727" max="4727" width="2.75" style="342" bestFit="1" customWidth="1"/>
    <col min="4728" max="4729" width="6.25" style="342" bestFit="1" customWidth="1"/>
    <col min="4730" max="4730" width="18.83203125" style="342" bestFit="1" customWidth="1"/>
    <col min="4731" max="4731" width="6.83203125" style="342" bestFit="1" customWidth="1"/>
    <col min="4732" max="4732" width="3.25" style="342" customWidth="1"/>
    <col min="4733" max="4733" width="7.5" style="342" customWidth="1"/>
    <col min="4734" max="4734" width="2.75" style="342" bestFit="1" customWidth="1"/>
    <col min="4735" max="4736" width="6.25" style="342" customWidth="1"/>
    <col min="4737" max="4737" width="4.5" style="342" bestFit="1" customWidth="1"/>
    <col min="4738" max="4738" width="11.25" style="342" customWidth="1"/>
    <col min="4739" max="4757" width="10.33203125" style="342" customWidth="1"/>
    <col min="4758" max="4758" width="27.08203125" style="342" customWidth="1"/>
    <col min="4759" max="4759" width="13.5" style="342" customWidth="1"/>
    <col min="4760" max="4760" width="12.58203125" style="342" customWidth="1"/>
    <col min="4761" max="4761" width="12.75" style="342" customWidth="1"/>
    <col min="4762" max="4762" width="14.08203125" style="342" customWidth="1"/>
    <col min="4763" max="4763" width="13.75" style="342" customWidth="1"/>
    <col min="4764" max="4764" width="9" style="342" customWidth="1"/>
    <col min="4765" max="4765" width="4.5" style="342" customWidth="1"/>
    <col min="4766" max="4768" width="10.33203125" style="342" customWidth="1"/>
    <col min="4769" max="4769" width="6.83203125" style="342" customWidth="1"/>
    <col min="4770" max="4789" width="10.33203125" style="342" customWidth="1"/>
    <col min="4790" max="4790" width="27.08203125" style="342" customWidth="1"/>
    <col min="4791" max="4791" width="13.5" style="342" customWidth="1"/>
    <col min="4792" max="4792" width="12.58203125" style="342" customWidth="1"/>
    <col min="4793" max="4793" width="12.75" style="342" customWidth="1"/>
    <col min="4794" max="4794" width="14.08203125" style="342" customWidth="1"/>
    <col min="4795" max="4795" width="13.75" style="342" customWidth="1"/>
    <col min="4796" max="4796" width="9" style="342" customWidth="1"/>
    <col min="4797" max="4797" width="4.5" style="342" customWidth="1"/>
    <col min="4798" max="4800" width="10.33203125" style="342" customWidth="1"/>
    <col min="4801" max="4801" width="6.25" style="342" customWidth="1"/>
    <col min="4802" max="4802" width="27.08203125" style="342" customWidth="1"/>
    <col min="4803" max="4803" width="13.5" style="342" customWidth="1"/>
    <col min="4804" max="4804" width="12.58203125" style="342" customWidth="1"/>
    <col min="4805" max="4805" width="17.08203125" style="342" customWidth="1"/>
    <col min="4806" max="4806" width="14.08203125" style="342" customWidth="1"/>
    <col min="4807" max="4807" width="13.75" style="342" customWidth="1"/>
    <col min="4808" max="4808" width="9" style="342" customWidth="1"/>
    <col min="4809" max="4810" width="4.5" style="342" customWidth="1"/>
    <col min="4811" max="4814" width="10.33203125" style="342" customWidth="1"/>
    <col min="4815" max="4815" width="27.08203125" style="342" customWidth="1"/>
    <col min="4816" max="4816" width="13.5" style="342" customWidth="1"/>
    <col min="4817" max="4817" width="12.58203125" style="342" customWidth="1"/>
    <col min="4818" max="4818" width="15.25" style="342" customWidth="1"/>
    <col min="4819" max="4819" width="14.08203125" style="342" customWidth="1"/>
    <col min="4820" max="4820" width="17.75" style="342" customWidth="1"/>
    <col min="4821" max="4821" width="9" style="342" customWidth="1"/>
    <col min="4822" max="4822" width="4.5" style="342" customWidth="1"/>
    <col min="4823" max="4823" width="4.33203125" style="342" customWidth="1"/>
    <col min="4824" max="4827" width="10.33203125" style="342" customWidth="1"/>
    <col min="4828" max="4828" width="27.08203125" style="342" customWidth="1"/>
    <col min="4829" max="4829" width="13.5" style="342" customWidth="1"/>
    <col min="4830" max="4830" width="12.58203125" style="342" customWidth="1"/>
    <col min="4831" max="4831" width="15.25" style="342" customWidth="1"/>
    <col min="4832" max="4832" width="14.08203125" style="342" customWidth="1"/>
    <col min="4833" max="4833" width="16.25" style="342" customWidth="1"/>
    <col min="4834" max="4834" width="9" style="342" customWidth="1"/>
    <col min="4835" max="4835" width="4.5" style="342" customWidth="1"/>
    <col min="4836" max="4836" width="4.08203125" style="342" customWidth="1"/>
    <col min="4837" max="4856" width="10.33203125" style="342" customWidth="1"/>
    <col min="4857" max="4857" width="27.08203125" style="342" bestFit="1" customWidth="1"/>
    <col min="4858" max="4858" width="13.5" style="342" customWidth="1"/>
    <col min="4859" max="4859" width="12.58203125" style="342" customWidth="1"/>
    <col min="4860" max="4860" width="15.25" style="342" customWidth="1"/>
    <col min="4861" max="4861" width="14.08203125" style="342" customWidth="1"/>
    <col min="4862" max="4862" width="17.75" style="342" customWidth="1"/>
    <col min="4863" max="4863" width="9" style="342" customWidth="1"/>
    <col min="4864" max="4864" width="4.5" style="342" customWidth="1"/>
    <col min="4865" max="4865" width="4.08203125" style="342" customWidth="1"/>
    <col min="4866" max="4868" width="10.33203125" style="342" customWidth="1"/>
    <col min="4869" max="4978" width="10.33203125" style="342"/>
    <col min="4979" max="4979" width="3.83203125" style="342" customWidth="1"/>
    <col min="4980" max="4980" width="18.58203125" style="342" customWidth="1"/>
    <col min="4981" max="4981" width="19.75" style="342" customWidth="1"/>
    <col min="4982" max="4982" width="8" style="342" customWidth="1"/>
    <col min="4983" max="4983" width="2.75" style="342" bestFit="1" customWidth="1"/>
    <col min="4984" max="4985" width="6.25" style="342" bestFit="1" customWidth="1"/>
    <col min="4986" max="4986" width="18.83203125" style="342" bestFit="1" customWidth="1"/>
    <col min="4987" max="4987" width="6.83203125" style="342" bestFit="1" customWidth="1"/>
    <col min="4988" max="4988" width="3.25" style="342" customWidth="1"/>
    <col min="4989" max="4989" width="7.5" style="342" customWidth="1"/>
    <col min="4990" max="4990" width="2.75" style="342" bestFit="1" customWidth="1"/>
    <col min="4991" max="4992" width="6.25" style="342" customWidth="1"/>
    <col min="4993" max="4993" width="4.5" style="342" bestFit="1" customWidth="1"/>
    <col min="4994" max="4994" width="11.25" style="342" customWidth="1"/>
    <col min="4995" max="5013" width="10.33203125" style="342" customWidth="1"/>
    <col min="5014" max="5014" width="27.08203125" style="342" customWidth="1"/>
    <col min="5015" max="5015" width="13.5" style="342" customWidth="1"/>
    <col min="5016" max="5016" width="12.58203125" style="342" customWidth="1"/>
    <col min="5017" max="5017" width="12.75" style="342" customWidth="1"/>
    <col min="5018" max="5018" width="14.08203125" style="342" customWidth="1"/>
    <col min="5019" max="5019" width="13.75" style="342" customWidth="1"/>
    <col min="5020" max="5020" width="9" style="342" customWidth="1"/>
    <col min="5021" max="5021" width="4.5" style="342" customWidth="1"/>
    <col min="5022" max="5024" width="10.33203125" style="342" customWidth="1"/>
    <col min="5025" max="5025" width="6.83203125" style="342" customWidth="1"/>
    <col min="5026" max="5045" width="10.33203125" style="342" customWidth="1"/>
    <col min="5046" max="5046" width="27.08203125" style="342" customWidth="1"/>
    <col min="5047" max="5047" width="13.5" style="342" customWidth="1"/>
    <col min="5048" max="5048" width="12.58203125" style="342" customWidth="1"/>
    <col min="5049" max="5049" width="12.75" style="342" customWidth="1"/>
    <col min="5050" max="5050" width="14.08203125" style="342" customWidth="1"/>
    <col min="5051" max="5051" width="13.75" style="342" customWidth="1"/>
    <col min="5052" max="5052" width="9" style="342" customWidth="1"/>
    <col min="5053" max="5053" width="4.5" style="342" customWidth="1"/>
    <col min="5054" max="5056" width="10.33203125" style="342" customWidth="1"/>
    <col min="5057" max="5057" width="6.25" style="342" customWidth="1"/>
    <col min="5058" max="5058" width="27.08203125" style="342" customWidth="1"/>
    <col min="5059" max="5059" width="13.5" style="342" customWidth="1"/>
    <col min="5060" max="5060" width="12.58203125" style="342" customWidth="1"/>
    <col min="5061" max="5061" width="17.08203125" style="342" customWidth="1"/>
    <col min="5062" max="5062" width="14.08203125" style="342" customWidth="1"/>
    <col min="5063" max="5063" width="13.75" style="342" customWidth="1"/>
    <col min="5064" max="5064" width="9" style="342" customWidth="1"/>
    <col min="5065" max="5066" width="4.5" style="342" customWidth="1"/>
    <col min="5067" max="5070" width="10.33203125" style="342" customWidth="1"/>
    <col min="5071" max="5071" width="27.08203125" style="342" customWidth="1"/>
    <col min="5072" max="5072" width="13.5" style="342" customWidth="1"/>
    <col min="5073" max="5073" width="12.58203125" style="342" customWidth="1"/>
    <col min="5074" max="5074" width="15.25" style="342" customWidth="1"/>
    <col min="5075" max="5075" width="14.08203125" style="342" customWidth="1"/>
    <col min="5076" max="5076" width="17.75" style="342" customWidth="1"/>
    <col min="5077" max="5077" width="9" style="342" customWidth="1"/>
    <col min="5078" max="5078" width="4.5" style="342" customWidth="1"/>
    <col min="5079" max="5079" width="4.33203125" style="342" customWidth="1"/>
    <col min="5080" max="5083" width="10.33203125" style="342" customWidth="1"/>
    <col min="5084" max="5084" width="27.08203125" style="342" customWidth="1"/>
    <col min="5085" max="5085" width="13.5" style="342" customWidth="1"/>
    <col min="5086" max="5086" width="12.58203125" style="342" customWidth="1"/>
    <col min="5087" max="5087" width="15.25" style="342" customWidth="1"/>
    <col min="5088" max="5088" width="14.08203125" style="342" customWidth="1"/>
    <col min="5089" max="5089" width="16.25" style="342" customWidth="1"/>
    <col min="5090" max="5090" width="9" style="342" customWidth="1"/>
    <col min="5091" max="5091" width="4.5" style="342" customWidth="1"/>
    <col min="5092" max="5092" width="4.08203125" style="342" customWidth="1"/>
    <col min="5093" max="5112" width="10.33203125" style="342" customWidth="1"/>
    <col min="5113" max="5113" width="27.08203125" style="342" bestFit="1" customWidth="1"/>
    <col min="5114" max="5114" width="13.5" style="342" customWidth="1"/>
    <col min="5115" max="5115" width="12.58203125" style="342" customWidth="1"/>
    <col min="5116" max="5116" width="15.25" style="342" customWidth="1"/>
    <col min="5117" max="5117" width="14.08203125" style="342" customWidth="1"/>
    <col min="5118" max="5118" width="17.75" style="342" customWidth="1"/>
    <col min="5119" max="5119" width="9" style="342" customWidth="1"/>
    <col min="5120" max="5120" width="4.5" style="342" customWidth="1"/>
    <col min="5121" max="5121" width="4.08203125" style="342" customWidth="1"/>
    <col min="5122" max="5124" width="10.33203125" style="342" customWidth="1"/>
    <col min="5125" max="5234" width="10.33203125" style="342"/>
    <col min="5235" max="5235" width="3.83203125" style="342" customWidth="1"/>
    <col min="5236" max="5236" width="18.58203125" style="342" customWidth="1"/>
    <col min="5237" max="5237" width="19.75" style="342" customWidth="1"/>
    <col min="5238" max="5238" width="8" style="342" customWidth="1"/>
    <col min="5239" max="5239" width="2.75" style="342" bestFit="1" customWidth="1"/>
    <col min="5240" max="5241" width="6.25" style="342" bestFit="1" customWidth="1"/>
    <col min="5242" max="5242" width="18.83203125" style="342" bestFit="1" customWidth="1"/>
    <col min="5243" max="5243" width="6.83203125" style="342" bestFit="1" customWidth="1"/>
    <col min="5244" max="5244" width="3.25" style="342" customWidth="1"/>
    <col min="5245" max="5245" width="7.5" style="342" customWidth="1"/>
    <col min="5246" max="5246" width="2.75" style="342" bestFit="1" customWidth="1"/>
    <col min="5247" max="5248" width="6.25" style="342" customWidth="1"/>
    <col min="5249" max="5249" width="4.5" style="342" bestFit="1" customWidth="1"/>
    <col min="5250" max="5250" width="11.25" style="342" customWidth="1"/>
    <col min="5251" max="5269" width="10.33203125" style="342" customWidth="1"/>
    <col min="5270" max="5270" width="27.08203125" style="342" customWidth="1"/>
    <col min="5271" max="5271" width="13.5" style="342" customWidth="1"/>
    <col min="5272" max="5272" width="12.58203125" style="342" customWidth="1"/>
    <col min="5273" max="5273" width="12.75" style="342" customWidth="1"/>
    <col min="5274" max="5274" width="14.08203125" style="342" customWidth="1"/>
    <col min="5275" max="5275" width="13.75" style="342" customWidth="1"/>
    <col min="5276" max="5276" width="9" style="342" customWidth="1"/>
    <col min="5277" max="5277" width="4.5" style="342" customWidth="1"/>
    <col min="5278" max="5280" width="10.33203125" style="342" customWidth="1"/>
    <col min="5281" max="5281" width="6.83203125" style="342" customWidth="1"/>
    <col min="5282" max="5301" width="10.33203125" style="342" customWidth="1"/>
    <col min="5302" max="5302" width="27.08203125" style="342" customWidth="1"/>
    <col min="5303" max="5303" width="13.5" style="342" customWidth="1"/>
    <col min="5304" max="5304" width="12.58203125" style="342" customWidth="1"/>
    <col min="5305" max="5305" width="12.75" style="342" customWidth="1"/>
    <col min="5306" max="5306" width="14.08203125" style="342" customWidth="1"/>
    <col min="5307" max="5307" width="13.75" style="342" customWidth="1"/>
    <col min="5308" max="5308" width="9" style="342" customWidth="1"/>
    <col min="5309" max="5309" width="4.5" style="342" customWidth="1"/>
    <col min="5310" max="5312" width="10.33203125" style="342" customWidth="1"/>
    <col min="5313" max="5313" width="6.25" style="342" customWidth="1"/>
    <col min="5314" max="5314" width="27.08203125" style="342" customWidth="1"/>
    <col min="5315" max="5315" width="13.5" style="342" customWidth="1"/>
    <col min="5316" max="5316" width="12.58203125" style="342" customWidth="1"/>
    <col min="5317" max="5317" width="17.08203125" style="342" customWidth="1"/>
    <col min="5318" max="5318" width="14.08203125" style="342" customWidth="1"/>
    <col min="5319" max="5319" width="13.75" style="342" customWidth="1"/>
    <col min="5320" max="5320" width="9" style="342" customWidth="1"/>
    <col min="5321" max="5322" width="4.5" style="342" customWidth="1"/>
    <col min="5323" max="5326" width="10.33203125" style="342" customWidth="1"/>
    <col min="5327" max="5327" width="27.08203125" style="342" customWidth="1"/>
    <col min="5328" max="5328" width="13.5" style="342" customWidth="1"/>
    <col min="5329" max="5329" width="12.58203125" style="342" customWidth="1"/>
    <col min="5330" max="5330" width="15.25" style="342" customWidth="1"/>
    <col min="5331" max="5331" width="14.08203125" style="342" customWidth="1"/>
    <col min="5332" max="5332" width="17.75" style="342" customWidth="1"/>
    <col min="5333" max="5333" width="9" style="342" customWidth="1"/>
    <col min="5334" max="5334" width="4.5" style="342" customWidth="1"/>
    <col min="5335" max="5335" width="4.33203125" style="342" customWidth="1"/>
    <col min="5336" max="5339" width="10.33203125" style="342" customWidth="1"/>
    <col min="5340" max="5340" width="27.08203125" style="342" customWidth="1"/>
    <col min="5341" max="5341" width="13.5" style="342" customWidth="1"/>
    <col min="5342" max="5342" width="12.58203125" style="342" customWidth="1"/>
    <col min="5343" max="5343" width="15.25" style="342" customWidth="1"/>
    <col min="5344" max="5344" width="14.08203125" style="342" customWidth="1"/>
    <col min="5345" max="5345" width="16.25" style="342" customWidth="1"/>
    <col min="5346" max="5346" width="9" style="342" customWidth="1"/>
    <col min="5347" max="5347" width="4.5" style="342" customWidth="1"/>
    <col min="5348" max="5348" width="4.08203125" style="342" customWidth="1"/>
    <col min="5349" max="5368" width="10.33203125" style="342" customWidth="1"/>
    <col min="5369" max="5369" width="27.08203125" style="342" bestFit="1" customWidth="1"/>
    <col min="5370" max="5370" width="13.5" style="342" customWidth="1"/>
    <col min="5371" max="5371" width="12.58203125" style="342" customWidth="1"/>
    <col min="5372" max="5372" width="15.25" style="342" customWidth="1"/>
    <col min="5373" max="5373" width="14.08203125" style="342" customWidth="1"/>
    <col min="5374" max="5374" width="17.75" style="342" customWidth="1"/>
    <col min="5375" max="5375" width="9" style="342" customWidth="1"/>
    <col min="5376" max="5376" width="4.5" style="342" customWidth="1"/>
    <col min="5377" max="5377" width="4.08203125" style="342" customWidth="1"/>
    <col min="5378" max="5380" width="10.33203125" style="342" customWidth="1"/>
    <col min="5381" max="5490" width="10.33203125" style="342"/>
    <col min="5491" max="5491" width="3.83203125" style="342" customWidth="1"/>
    <col min="5492" max="5492" width="18.58203125" style="342" customWidth="1"/>
    <col min="5493" max="5493" width="19.75" style="342" customWidth="1"/>
    <col min="5494" max="5494" width="8" style="342" customWidth="1"/>
    <col min="5495" max="5495" width="2.75" style="342" bestFit="1" customWidth="1"/>
    <col min="5496" max="5497" width="6.25" style="342" bestFit="1" customWidth="1"/>
    <col min="5498" max="5498" width="18.83203125" style="342" bestFit="1" customWidth="1"/>
    <col min="5499" max="5499" width="6.83203125" style="342" bestFit="1" customWidth="1"/>
    <col min="5500" max="5500" width="3.25" style="342" customWidth="1"/>
    <col min="5501" max="5501" width="7.5" style="342" customWidth="1"/>
    <col min="5502" max="5502" width="2.75" style="342" bestFit="1" customWidth="1"/>
    <col min="5503" max="5504" width="6.25" style="342" customWidth="1"/>
    <col min="5505" max="5505" width="4.5" style="342" bestFit="1" customWidth="1"/>
    <col min="5506" max="5506" width="11.25" style="342" customWidth="1"/>
    <col min="5507" max="5525" width="10.33203125" style="342" customWidth="1"/>
    <col min="5526" max="5526" width="27.08203125" style="342" customWidth="1"/>
    <col min="5527" max="5527" width="13.5" style="342" customWidth="1"/>
    <col min="5528" max="5528" width="12.58203125" style="342" customWidth="1"/>
    <col min="5529" max="5529" width="12.75" style="342" customWidth="1"/>
    <col min="5530" max="5530" width="14.08203125" style="342" customWidth="1"/>
    <col min="5531" max="5531" width="13.75" style="342" customWidth="1"/>
    <col min="5532" max="5532" width="9" style="342" customWidth="1"/>
    <col min="5533" max="5533" width="4.5" style="342" customWidth="1"/>
    <col min="5534" max="5536" width="10.33203125" style="342" customWidth="1"/>
    <col min="5537" max="5537" width="6.83203125" style="342" customWidth="1"/>
    <col min="5538" max="5557" width="10.33203125" style="342" customWidth="1"/>
    <col min="5558" max="5558" width="27.08203125" style="342" customWidth="1"/>
    <col min="5559" max="5559" width="13.5" style="342" customWidth="1"/>
    <col min="5560" max="5560" width="12.58203125" style="342" customWidth="1"/>
    <col min="5561" max="5561" width="12.75" style="342" customWidth="1"/>
    <col min="5562" max="5562" width="14.08203125" style="342" customWidth="1"/>
    <col min="5563" max="5563" width="13.75" style="342" customWidth="1"/>
    <col min="5564" max="5564" width="9" style="342" customWidth="1"/>
    <col min="5565" max="5565" width="4.5" style="342" customWidth="1"/>
    <col min="5566" max="5568" width="10.33203125" style="342" customWidth="1"/>
    <col min="5569" max="5569" width="6.25" style="342" customWidth="1"/>
    <col min="5570" max="5570" width="27.08203125" style="342" customWidth="1"/>
    <col min="5571" max="5571" width="13.5" style="342" customWidth="1"/>
    <col min="5572" max="5572" width="12.58203125" style="342" customWidth="1"/>
    <col min="5573" max="5573" width="17.08203125" style="342" customWidth="1"/>
    <col min="5574" max="5574" width="14.08203125" style="342" customWidth="1"/>
    <col min="5575" max="5575" width="13.75" style="342" customWidth="1"/>
    <col min="5576" max="5576" width="9" style="342" customWidth="1"/>
    <col min="5577" max="5578" width="4.5" style="342" customWidth="1"/>
    <col min="5579" max="5582" width="10.33203125" style="342" customWidth="1"/>
    <col min="5583" max="5583" width="27.08203125" style="342" customWidth="1"/>
    <col min="5584" max="5584" width="13.5" style="342" customWidth="1"/>
    <col min="5585" max="5585" width="12.58203125" style="342" customWidth="1"/>
    <col min="5586" max="5586" width="15.25" style="342" customWidth="1"/>
    <col min="5587" max="5587" width="14.08203125" style="342" customWidth="1"/>
    <col min="5588" max="5588" width="17.75" style="342" customWidth="1"/>
    <col min="5589" max="5589" width="9" style="342" customWidth="1"/>
    <col min="5590" max="5590" width="4.5" style="342" customWidth="1"/>
    <col min="5591" max="5591" width="4.33203125" style="342" customWidth="1"/>
    <col min="5592" max="5595" width="10.33203125" style="342" customWidth="1"/>
    <col min="5596" max="5596" width="27.08203125" style="342" customWidth="1"/>
    <col min="5597" max="5597" width="13.5" style="342" customWidth="1"/>
    <col min="5598" max="5598" width="12.58203125" style="342" customWidth="1"/>
    <col min="5599" max="5599" width="15.25" style="342" customWidth="1"/>
    <col min="5600" max="5600" width="14.08203125" style="342" customWidth="1"/>
    <col min="5601" max="5601" width="16.25" style="342" customWidth="1"/>
    <col min="5602" max="5602" width="9" style="342" customWidth="1"/>
    <col min="5603" max="5603" width="4.5" style="342" customWidth="1"/>
    <col min="5604" max="5604" width="4.08203125" style="342" customWidth="1"/>
    <col min="5605" max="5624" width="10.33203125" style="342" customWidth="1"/>
    <col min="5625" max="5625" width="27.08203125" style="342" bestFit="1" customWidth="1"/>
    <col min="5626" max="5626" width="13.5" style="342" customWidth="1"/>
    <col min="5627" max="5627" width="12.58203125" style="342" customWidth="1"/>
    <col min="5628" max="5628" width="15.25" style="342" customWidth="1"/>
    <col min="5629" max="5629" width="14.08203125" style="342" customWidth="1"/>
    <col min="5630" max="5630" width="17.75" style="342" customWidth="1"/>
    <col min="5631" max="5631" width="9" style="342" customWidth="1"/>
    <col min="5632" max="5632" width="4.5" style="342" customWidth="1"/>
    <col min="5633" max="5633" width="4.08203125" style="342" customWidth="1"/>
    <col min="5634" max="5636" width="10.33203125" style="342" customWidth="1"/>
    <col min="5637" max="5746" width="10.33203125" style="342"/>
    <col min="5747" max="5747" width="3.83203125" style="342" customWidth="1"/>
    <col min="5748" max="5748" width="18.58203125" style="342" customWidth="1"/>
    <col min="5749" max="5749" width="19.75" style="342" customWidth="1"/>
    <col min="5750" max="5750" width="8" style="342" customWidth="1"/>
    <col min="5751" max="5751" width="2.75" style="342" bestFit="1" customWidth="1"/>
    <col min="5752" max="5753" width="6.25" style="342" bestFit="1" customWidth="1"/>
    <col min="5754" max="5754" width="18.83203125" style="342" bestFit="1" customWidth="1"/>
    <col min="5755" max="5755" width="6.83203125" style="342" bestFit="1" customWidth="1"/>
    <col min="5756" max="5756" width="3.25" style="342" customWidth="1"/>
    <col min="5757" max="5757" width="7.5" style="342" customWidth="1"/>
    <col min="5758" max="5758" width="2.75" style="342" bestFit="1" customWidth="1"/>
    <col min="5759" max="5760" width="6.25" style="342" customWidth="1"/>
    <col min="5761" max="5761" width="4.5" style="342" bestFit="1" customWidth="1"/>
    <col min="5762" max="5762" width="11.25" style="342" customWidth="1"/>
    <col min="5763" max="5781" width="10.33203125" style="342" customWidth="1"/>
    <col min="5782" max="5782" width="27.08203125" style="342" customWidth="1"/>
    <col min="5783" max="5783" width="13.5" style="342" customWidth="1"/>
    <col min="5784" max="5784" width="12.58203125" style="342" customWidth="1"/>
    <col min="5785" max="5785" width="12.75" style="342" customWidth="1"/>
    <col min="5786" max="5786" width="14.08203125" style="342" customWidth="1"/>
    <col min="5787" max="5787" width="13.75" style="342" customWidth="1"/>
    <col min="5788" max="5788" width="9" style="342" customWidth="1"/>
    <col min="5789" max="5789" width="4.5" style="342" customWidth="1"/>
    <col min="5790" max="5792" width="10.33203125" style="342" customWidth="1"/>
    <col min="5793" max="5793" width="6.83203125" style="342" customWidth="1"/>
    <col min="5794" max="5813" width="10.33203125" style="342" customWidth="1"/>
    <col min="5814" max="5814" width="27.08203125" style="342" customWidth="1"/>
    <col min="5815" max="5815" width="13.5" style="342" customWidth="1"/>
    <col min="5816" max="5816" width="12.58203125" style="342" customWidth="1"/>
    <col min="5817" max="5817" width="12.75" style="342" customWidth="1"/>
    <col min="5818" max="5818" width="14.08203125" style="342" customWidth="1"/>
    <col min="5819" max="5819" width="13.75" style="342" customWidth="1"/>
    <col min="5820" max="5820" width="9" style="342" customWidth="1"/>
    <col min="5821" max="5821" width="4.5" style="342" customWidth="1"/>
    <col min="5822" max="5824" width="10.33203125" style="342" customWidth="1"/>
    <col min="5825" max="5825" width="6.25" style="342" customWidth="1"/>
    <col min="5826" max="5826" width="27.08203125" style="342" customWidth="1"/>
    <col min="5827" max="5827" width="13.5" style="342" customWidth="1"/>
    <col min="5828" max="5828" width="12.58203125" style="342" customWidth="1"/>
    <col min="5829" max="5829" width="17.08203125" style="342" customWidth="1"/>
    <col min="5830" max="5830" width="14.08203125" style="342" customWidth="1"/>
    <col min="5831" max="5831" width="13.75" style="342" customWidth="1"/>
    <col min="5832" max="5832" width="9" style="342" customWidth="1"/>
    <col min="5833" max="5834" width="4.5" style="342" customWidth="1"/>
    <col min="5835" max="5838" width="10.33203125" style="342" customWidth="1"/>
    <col min="5839" max="5839" width="27.08203125" style="342" customWidth="1"/>
    <col min="5840" max="5840" width="13.5" style="342" customWidth="1"/>
    <col min="5841" max="5841" width="12.58203125" style="342" customWidth="1"/>
    <col min="5842" max="5842" width="15.25" style="342" customWidth="1"/>
    <col min="5843" max="5843" width="14.08203125" style="342" customWidth="1"/>
    <col min="5844" max="5844" width="17.75" style="342" customWidth="1"/>
    <col min="5845" max="5845" width="9" style="342" customWidth="1"/>
    <col min="5846" max="5846" width="4.5" style="342" customWidth="1"/>
    <col min="5847" max="5847" width="4.33203125" style="342" customWidth="1"/>
    <col min="5848" max="5851" width="10.33203125" style="342" customWidth="1"/>
    <col min="5852" max="5852" width="27.08203125" style="342" customWidth="1"/>
    <col min="5853" max="5853" width="13.5" style="342" customWidth="1"/>
    <col min="5854" max="5854" width="12.58203125" style="342" customWidth="1"/>
    <col min="5855" max="5855" width="15.25" style="342" customWidth="1"/>
    <col min="5856" max="5856" width="14.08203125" style="342" customWidth="1"/>
    <col min="5857" max="5857" width="16.25" style="342" customWidth="1"/>
    <col min="5858" max="5858" width="9" style="342" customWidth="1"/>
    <col min="5859" max="5859" width="4.5" style="342" customWidth="1"/>
    <col min="5860" max="5860" width="4.08203125" style="342" customWidth="1"/>
    <col min="5861" max="5880" width="10.33203125" style="342" customWidth="1"/>
    <col min="5881" max="5881" width="27.08203125" style="342" bestFit="1" customWidth="1"/>
    <col min="5882" max="5882" width="13.5" style="342" customWidth="1"/>
    <col min="5883" max="5883" width="12.58203125" style="342" customWidth="1"/>
    <col min="5884" max="5884" width="15.25" style="342" customWidth="1"/>
    <col min="5885" max="5885" width="14.08203125" style="342" customWidth="1"/>
    <col min="5886" max="5886" width="17.75" style="342" customWidth="1"/>
    <col min="5887" max="5887" width="9" style="342" customWidth="1"/>
    <col min="5888" max="5888" width="4.5" style="342" customWidth="1"/>
    <col min="5889" max="5889" width="4.08203125" style="342" customWidth="1"/>
    <col min="5890" max="5892" width="10.33203125" style="342" customWidth="1"/>
    <col min="5893" max="6002" width="10.33203125" style="342"/>
    <col min="6003" max="6003" width="3.83203125" style="342" customWidth="1"/>
    <col min="6004" max="6004" width="18.58203125" style="342" customWidth="1"/>
    <col min="6005" max="6005" width="19.75" style="342" customWidth="1"/>
    <col min="6006" max="6006" width="8" style="342" customWidth="1"/>
    <col min="6007" max="6007" width="2.75" style="342" bestFit="1" customWidth="1"/>
    <col min="6008" max="6009" width="6.25" style="342" bestFit="1" customWidth="1"/>
    <col min="6010" max="6010" width="18.83203125" style="342" bestFit="1" customWidth="1"/>
    <col min="6011" max="6011" width="6.83203125" style="342" bestFit="1" customWidth="1"/>
    <col min="6012" max="6012" width="3.25" style="342" customWidth="1"/>
    <col min="6013" max="6013" width="7.5" style="342" customWidth="1"/>
    <col min="6014" max="6014" width="2.75" style="342" bestFit="1" customWidth="1"/>
    <col min="6015" max="6016" width="6.25" style="342" customWidth="1"/>
    <col min="6017" max="6017" width="4.5" style="342" bestFit="1" customWidth="1"/>
    <col min="6018" max="6018" width="11.25" style="342" customWidth="1"/>
    <col min="6019" max="6037" width="10.33203125" style="342" customWidth="1"/>
    <col min="6038" max="6038" width="27.08203125" style="342" customWidth="1"/>
    <col min="6039" max="6039" width="13.5" style="342" customWidth="1"/>
    <col min="6040" max="6040" width="12.58203125" style="342" customWidth="1"/>
    <col min="6041" max="6041" width="12.75" style="342" customWidth="1"/>
    <col min="6042" max="6042" width="14.08203125" style="342" customWidth="1"/>
    <col min="6043" max="6043" width="13.75" style="342" customWidth="1"/>
    <col min="6044" max="6044" width="9" style="342" customWidth="1"/>
    <col min="6045" max="6045" width="4.5" style="342" customWidth="1"/>
    <col min="6046" max="6048" width="10.33203125" style="342" customWidth="1"/>
    <col min="6049" max="6049" width="6.83203125" style="342" customWidth="1"/>
    <col min="6050" max="6069" width="10.33203125" style="342" customWidth="1"/>
    <col min="6070" max="6070" width="27.08203125" style="342" customWidth="1"/>
    <col min="6071" max="6071" width="13.5" style="342" customWidth="1"/>
    <col min="6072" max="6072" width="12.58203125" style="342" customWidth="1"/>
    <col min="6073" max="6073" width="12.75" style="342" customWidth="1"/>
    <col min="6074" max="6074" width="14.08203125" style="342" customWidth="1"/>
    <col min="6075" max="6075" width="13.75" style="342" customWidth="1"/>
    <col min="6076" max="6076" width="9" style="342" customWidth="1"/>
    <col min="6077" max="6077" width="4.5" style="342" customWidth="1"/>
    <col min="6078" max="6080" width="10.33203125" style="342" customWidth="1"/>
    <col min="6081" max="6081" width="6.25" style="342" customWidth="1"/>
    <col min="6082" max="6082" width="27.08203125" style="342" customWidth="1"/>
    <col min="6083" max="6083" width="13.5" style="342" customWidth="1"/>
    <col min="6084" max="6084" width="12.58203125" style="342" customWidth="1"/>
    <col min="6085" max="6085" width="17.08203125" style="342" customWidth="1"/>
    <col min="6086" max="6086" width="14.08203125" style="342" customWidth="1"/>
    <col min="6087" max="6087" width="13.75" style="342" customWidth="1"/>
    <col min="6088" max="6088" width="9" style="342" customWidth="1"/>
    <col min="6089" max="6090" width="4.5" style="342" customWidth="1"/>
    <col min="6091" max="6094" width="10.33203125" style="342" customWidth="1"/>
    <col min="6095" max="6095" width="27.08203125" style="342" customWidth="1"/>
    <col min="6096" max="6096" width="13.5" style="342" customWidth="1"/>
    <col min="6097" max="6097" width="12.58203125" style="342" customWidth="1"/>
    <col min="6098" max="6098" width="15.25" style="342" customWidth="1"/>
    <col min="6099" max="6099" width="14.08203125" style="342" customWidth="1"/>
    <col min="6100" max="6100" width="17.75" style="342" customWidth="1"/>
    <col min="6101" max="6101" width="9" style="342" customWidth="1"/>
    <col min="6102" max="6102" width="4.5" style="342" customWidth="1"/>
    <col min="6103" max="6103" width="4.33203125" style="342" customWidth="1"/>
    <col min="6104" max="6107" width="10.33203125" style="342" customWidth="1"/>
    <col min="6108" max="6108" width="27.08203125" style="342" customWidth="1"/>
    <col min="6109" max="6109" width="13.5" style="342" customWidth="1"/>
    <col min="6110" max="6110" width="12.58203125" style="342" customWidth="1"/>
    <col min="6111" max="6111" width="15.25" style="342" customWidth="1"/>
    <col min="6112" max="6112" width="14.08203125" style="342" customWidth="1"/>
    <col min="6113" max="6113" width="16.25" style="342" customWidth="1"/>
    <col min="6114" max="6114" width="9" style="342" customWidth="1"/>
    <col min="6115" max="6115" width="4.5" style="342" customWidth="1"/>
    <col min="6116" max="6116" width="4.08203125" style="342" customWidth="1"/>
    <col min="6117" max="6136" width="10.33203125" style="342" customWidth="1"/>
    <col min="6137" max="6137" width="27.08203125" style="342" bestFit="1" customWidth="1"/>
    <col min="6138" max="6138" width="13.5" style="342" customWidth="1"/>
    <col min="6139" max="6139" width="12.58203125" style="342" customWidth="1"/>
    <col min="6140" max="6140" width="15.25" style="342" customWidth="1"/>
    <col min="6141" max="6141" width="14.08203125" style="342" customWidth="1"/>
    <col min="6142" max="6142" width="17.75" style="342" customWidth="1"/>
    <col min="6143" max="6143" width="9" style="342" customWidth="1"/>
    <col min="6144" max="6144" width="4.5" style="342" customWidth="1"/>
    <col min="6145" max="6145" width="4.08203125" style="342" customWidth="1"/>
    <col min="6146" max="6148" width="10.33203125" style="342" customWidth="1"/>
    <col min="6149" max="6258" width="10.33203125" style="342"/>
    <col min="6259" max="6259" width="3.83203125" style="342" customWidth="1"/>
    <col min="6260" max="6260" width="18.58203125" style="342" customWidth="1"/>
    <col min="6261" max="6261" width="19.75" style="342" customWidth="1"/>
    <col min="6262" max="6262" width="8" style="342" customWidth="1"/>
    <col min="6263" max="6263" width="2.75" style="342" bestFit="1" customWidth="1"/>
    <col min="6264" max="6265" width="6.25" style="342" bestFit="1" customWidth="1"/>
    <col min="6266" max="6266" width="18.83203125" style="342" bestFit="1" customWidth="1"/>
    <col min="6267" max="6267" width="6.83203125" style="342" bestFit="1" customWidth="1"/>
    <col min="6268" max="6268" width="3.25" style="342" customWidth="1"/>
    <col min="6269" max="6269" width="7.5" style="342" customWidth="1"/>
    <col min="6270" max="6270" width="2.75" style="342" bestFit="1" customWidth="1"/>
    <col min="6271" max="6272" width="6.25" style="342" customWidth="1"/>
    <col min="6273" max="6273" width="4.5" style="342" bestFit="1" customWidth="1"/>
    <col min="6274" max="6274" width="11.25" style="342" customWidth="1"/>
    <col min="6275" max="6293" width="10.33203125" style="342" customWidth="1"/>
    <col min="6294" max="6294" width="27.08203125" style="342" customWidth="1"/>
    <col min="6295" max="6295" width="13.5" style="342" customWidth="1"/>
    <col min="6296" max="6296" width="12.58203125" style="342" customWidth="1"/>
    <col min="6297" max="6297" width="12.75" style="342" customWidth="1"/>
    <col min="6298" max="6298" width="14.08203125" style="342" customWidth="1"/>
    <col min="6299" max="6299" width="13.75" style="342" customWidth="1"/>
    <col min="6300" max="6300" width="9" style="342" customWidth="1"/>
    <col min="6301" max="6301" width="4.5" style="342" customWidth="1"/>
    <col min="6302" max="6304" width="10.33203125" style="342" customWidth="1"/>
    <col min="6305" max="6305" width="6.83203125" style="342" customWidth="1"/>
    <col min="6306" max="6325" width="10.33203125" style="342" customWidth="1"/>
    <col min="6326" max="6326" width="27.08203125" style="342" customWidth="1"/>
    <col min="6327" max="6327" width="13.5" style="342" customWidth="1"/>
    <col min="6328" max="6328" width="12.58203125" style="342" customWidth="1"/>
    <col min="6329" max="6329" width="12.75" style="342" customWidth="1"/>
    <col min="6330" max="6330" width="14.08203125" style="342" customWidth="1"/>
    <col min="6331" max="6331" width="13.75" style="342" customWidth="1"/>
    <col min="6332" max="6332" width="9" style="342" customWidth="1"/>
    <col min="6333" max="6333" width="4.5" style="342" customWidth="1"/>
    <col min="6334" max="6336" width="10.33203125" style="342" customWidth="1"/>
    <col min="6337" max="6337" width="6.25" style="342" customWidth="1"/>
    <col min="6338" max="6338" width="27.08203125" style="342" customWidth="1"/>
    <col min="6339" max="6339" width="13.5" style="342" customWidth="1"/>
    <col min="6340" max="6340" width="12.58203125" style="342" customWidth="1"/>
    <col min="6341" max="6341" width="17.08203125" style="342" customWidth="1"/>
    <col min="6342" max="6342" width="14.08203125" style="342" customWidth="1"/>
    <col min="6343" max="6343" width="13.75" style="342" customWidth="1"/>
    <col min="6344" max="6344" width="9" style="342" customWidth="1"/>
    <col min="6345" max="6346" width="4.5" style="342" customWidth="1"/>
    <col min="6347" max="6350" width="10.33203125" style="342" customWidth="1"/>
    <col min="6351" max="6351" width="27.08203125" style="342" customWidth="1"/>
    <col min="6352" max="6352" width="13.5" style="342" customWidth="1"/>
    <col min="6353" max="6353" width="12.58203125" style="342" customWidth="1"/>
    <col min="6354" max="6354" width="15.25" style="342" customWidth="1"/>
    <col min="6355" max="6355" width="14.08203125" style="342" customWidth="1"/>
    <col min="6356" max="6356" width="17.75" style="342" customWidth="1"/>
    <col min="6357" max="6357" width="9" style="342" customWidth="1"/>
    <col min="6358" max="6358" width="4.5" style="342" customWidth="1"/>
    <col min="6359" max="6359" width="4.33203125" style="342" customWidth="1"/>
    <col min="6360" max="6363" width="10.33203125" style="342" customWidth="1"/>
    <col min="6364" max="6364" width="27.08203125" style="342" customWidth="1"/>
    <col min="6365" max="6365" width="13.5" style="342" customWidth="1"/>
    <col min="6366" max="6366" width="12.58203125" style="342" customWidth="1"/>
    <col min="6367" max="6367" width="15.25" style="342" customWidth="1"/>
    <col min="6368" max="6368" width="14.08203125" style="342" customWidth="1"/>
    <col min="6369" max="6369" width="16.25" style="342" customWidth="1"/>
    <col min="6370" max="6370" width="9" style="342" customWidth="1"/>
    <col min="6371" max="6371" width="4.5" style="342" customWidth="1"/>
    <col min="6372" max="6372" width="4.08203125" style="342" customWidth="1"/>
    <col min="6373" max="6392" width="10.33203125" style="342" customWidth="1"/>
    <col min="6393" max="6393" width="27.08203125" style="342" bestFit="1" customWidth="1"/>
    <col min="6394" max="6394" width="13.5" style="342" customWidth="1"/>
    <col min="6395" max="6395" width="12.58203125" style="342" customWidth="1"/>
    <col min="6396" max="6396" width="15.25" style="342" customWidth="1"/>
    <col min="6397" max="6397" width="14.08203125" style="342" customWidth="1"/>
    <col min="6398" max="6398" width="17.75" style="342" customWidth="1"/>
    <col min="6399" max="6399" width="9" style="342" customWidth="1"/>
    <col min="6400" max="6400" width="4.5" style="342" customWidth="1"/>
    <col min="6401" max="6401" width="4.08203125" style="342" customWidth="1"/>
    <col min="6402" max="6404" width="10.33203125" style="342" customWidth="1"/>
    <col min="6405" max="6514" width="10.33203125" style="342"/>
    <col min="6515" max="6515" width="3.83203125" style="342" customWidth="1"/>
    <col min="6516" max="6516" width="18.58203125" style="342" customWidth="1"/>
    <col min="6517" max="6517" width="19.75" style="342" customWidth="1"/>
    <col min="6518" max="6518" width="8" style="342" customWidth="1"/>
    <col min="6519" max="6519" width="2.75" style="342" bestFit="1" customWidth="1"/>
    <col min="6520" max="6521" width="6.25" style="342" bestFit="1" customWidth="1"/>
    <col min="6522" max="6522" width="18.83203125" style="342" bestFit="1" customWidth="1"/>
    <col min="6523" max="6523" width="6.83203125" style="342" bestFit="1" customWidth="1"/>
    <col min="6524" max="6524" width="3.25" style="342" customWidth="1"/>
    <col min="6525" max="6525" width="7.5" style="342" customWidth="1"/>
    <col min="6526" max="6526" width="2.75" style="342" bestFit="1" customWidth="1"/>
    <col min="6527" max="6528" width="6.25" style="342" customWidth="1"/>
    <col min="6529" max="6529" width="4.5" style="342" bestFit="1" customWidth="1"/>
    <col min="6530" max="6530" width="11.25" style="342" customWidth="1"/>
    <col min="6531" max="6549" width="10.33203125" style="342" customWidth="1"/>
    <col min="6550" max="6550" width="27.08203125" style="342" customWidth="1"/>
    <col min="6551" max="6551" width="13.5" style="342" customWidth="1"/>
    <col min="6552" max="6552" width="12.58203125" style="342" customWidth="1"/>
    <col min="6553" max="6553" width="12.75" style="342" customWidth="1"/>
    <col min="6554" max="6554" width="14.08203125" style="342" customWidth="1"/>
    <col min="6555" max="6555" width="13.75" style="342" customWidth="1"/>
    <col min="6556" max="6556" width="9" style="342" customWidth="1"/>
    <col min="6557" max="6557" width="4.5" style="342" customWidth="1"/>
    <col min="6558" max="6560" width="10.33203125" style="342" customWidth="1"/>
    <col min="6561" max="6561" width="6.83203125" style="342" customWidth="1"/>
    <col min="6562" max="6581" width="10.33203125" style="342" customWidth="1"/>
    <col min="6582" max="6582" width="27.08203125" style="342" customWidth="1"/>
    <col min="6583" max="6583" width="13.5" style="342" customWidth="1"/>
    <col min="6584" max="6584" width="12.58203125" style="342" customWidth="1"/>
    <col min="6585" max="6585" width="12.75" style="342" customWidth="1"/>
    <col min="6586" max="6586" width="14.08203125" style="342" customWidth="1"/>
    <col min="6587" max="6587" width="13.75" style="342" customWidth="1"/>
    <col min="6588" max="6588" width="9" style="342" customWidth="1"/>
    <col min="6589" max="6589" width="4.5" style="342" customWidth="1"/>
    <col min="6590" max="6592" width="10.33203125" style="342" customWidth="1"/>
    <col min="6593" max="6593" width="6.25" style="342" customWidth="1"/>
    <col min="6594" max="6594" width="27.08203125" style="342" customWidth="1"/>
    <col min="6595" max="6595" width="13.5" style="342" customWidth="1"/>
    <col min="6596" max="6596" width="12.58203125" style="342" customWidth="1"/>
    <col min="6597" max="6597" width="17.08203125" style="342" customWidth="1"/>
    <col min="6598" max="6598" width="14.08203125" style="342" customWidth="1"/>
    <col min="6599" max="6599" width="13.75" style="342" customWidth="1"/>
    <col min="6600" max="6600" width="9" style="342" customWidth="1"/>
    <col min="6601" max="6602" width="4.5" style="342" customWidth="1"/>
    <col min="6603" max="6606" width="10.33203125" style="342" customWidth="1"/>
    <col min="6607" max="6607" width="27.08203125" style="342" customWidth="1"/>
    <col min="6608" max="6608" width="13.5" style="342" customWidth="1"/>
    <col min="6609" max="6609" width="12.58203125" style="342" customWidth="1"/>
    <col min="6610" max="6610" width="15.25" style="342" customWidth="1"/>
    <col min="6611" max="6611" width="14.08203125" style="342" customWidth="1"/>
    <col min="6612" max="6612" width="17.75" style="342" customWidth="1"/>
    <col min="6613" max="6613" width="9" style="342" customWidth="1"/>
    <col min="6614" max="6614" width="4.5" style="342" customWidth="1"/>
    <col min="6615" max="6615" width="4.33203125" style="342" customWidth="1"/>
    <col min="6616" max="6619" width="10.33203125" style="342" customWidth="1"/>
    <col min="6620" max="6620" width="27.08203125" style="342" customWidth="1"/>
    <col min="6621" max="6621" width="13.5" style="342" customWidth="1"/>
    <col min="6622" max="6622" width="12.58203125" style="342" customWidth="1"/>
    <col min="6623" max="6623" width="15.25" style="342" customWidth="1"/>
    <col min="6624" max="6624" width="14.08203125" style="342" customWidth="1"/>
    <col min="6625" max="6625" width="16.25" style="342" customWidth="1"/>
    <col min="6626" max="6626" width="9" style="342" customWidth="1"/>
    <col min="6627" max="6627" width="4.5" style="342" customWidth="1"/>
    <col min="6628" max="6628" width="4.08203125" style="342" customWidth="1"/>
    <col min="6629" max="6648" width="10.33203125" style="342" customWidth="1"/>
    <col min="6649" max="6649" width="27.08203125" style="342" bestFit="1" customWidth="1"/>
    <col min="6650" max="6650" width="13.5" style="342" customWidth="1"/>
    <col min="6651" max="6651" width="12.58203125" style="342" customWidth="1"/>
    <col min="6652" max="6652" width="15.25" style="342" customWidth="1"/>
    <col min="6653" max="6653" width="14.08203125" style="342" customWidth="1"/>
    <col min="6654" max="6654" width="17.75" style="342" customWidth="1"/>
    <col min="6655" max="6655" width="9" style="342" customWidth="1"/>
    <col min="6656" max="6656" width="4.5" style="342" customWidth="1"/>
    <col min="6657" max="6657" width="4.08203125" style="342" customWidth="1"/>
    <col min="6658" max="6660" width="10.33203125" style="342" customWidth="1"/>
    <col min="6661" max="6770" width="10.33203125" style="342"/>
    <col min="6771" max="6771" width="3.83203125" style="342" customWidth="1"/>
    <col min="6772" max="6772" width="18.58203125" style="342" customWidth="1"/>
    <col min="6773" max="6773" width="19.75" style="342" customWidth="1"/>
    <col min="6774" max="6774" width="8" style="342" customWidth="1"/>
    <col min="6775" max="6775" width="2.75" style="342" bestFit="1" customWidth="1"/>
    <col min="6776" max="6777" width="6.25" style="342" bestFit="1" customWidth="1"/>
    <col min="6778" max="6778" width="18.83203125" style="342" bestFit="1" customWidth="1"/>
    <col min="6779" max="6779" width="6.83203125" style="342" bestFit="1" customWidth="1"/>
    <col min="6780" max="6780" width="3.25" style="342" customWidth="1"/>
    <col min="6781" max="6781" width="7.5" style="342" customWidth="1"/>
    <col min="6782" max="6782" width="2.75" style="342" bestFit="1" customWidth="1"/>
    <col min="6783" max="6784" width="6.25" style="342" customWidth="1"/>
    <col min="6785" max="6785" width="4.5" style="342" bestFit="1" customWidth="1"/>
    <col min="6786" max="6786" width="11.25" style="342" customWidth="1"/>
    <col min="6787" max="6805" width="10.33203125" style="342" customWidth="1"/>
    <col min="6806" max="6806" width="27.08203125" style="342" customWidth="1"/>
    <col min="6807" max="6807" width="13.5" style="342" customWidth="1"/>
    <col min="6808" max="6808" width="12.58203125" style="342" customWidth="1"/>
    <col min="6809" max="6809" width="12.75" style="342" customWidth="1"/>
    <col min="6810" max="6810" width="14.08203125" style="342" customWidth="1"/>
    <col min="6811" max="6811" width="13.75" style="342" customWidth="1"/>
    <col min="6812" max="6812" width="9" style="342" customWidth="1"/>
    <col min="6813" max="6813" width="4.5" style="342" customWidth="1"/>
    <col min="6814" max="6816" width="10.33203125" style="342" customWidth="1"/>
    <col min="6817" max="6817" width="6.83203125" style="342" customWidth="1"/>
    <col min="6818" max="6837" width="10.33203125" style="342" customWidth="1"/>
    <col min="6838" max="6838" width="27.08203125" style="342" customWidth="1"/>
    <col min="6839" max="6839" width="13.5" style="342" customWidth="1"/>
    <col min="6840" max="6840" width="12.58203125" style="342" customWidth="1"/>
    <col min="6841" max="6841" width="12.75" style="342" customWidth="1"/>
    <col min="6842" max="6842" width="14.08203125" style="342" customWidth="1"/>
    <col min="6843" max="6843" width="13.75" style="342" customWidth="1"/>
    <col min="6844" max="6844" width="9" style="342" customWidth="1"/>
    <col min="6845" max="6845" width="4.5" style="342" customWidth="1"/>
    <col min="6846" max="6848" width="10.33203125" style="342" customWidth="1"/>
    <col min="6849" max="6849" width="6.25" style="342" customWidth="1"/>
    <col min="6850" max="6850" width="27.08203125" style="342" customWidth="1"/>
    <col min="6851" max="6851" width="13.5" style="342" customWidth="1"/>
    <col min="6852" max="6852" width="12.58203125" style="342" customWidth="1"/>
    <col min="6853" max="6853" width="17.08203125" style="342" customWidth="1"/>
    <col min="6854" max="6854" width="14.08203125" style="342" customWidth="1"/>
    <col min="6855" max="6855" width="13.75" style="342" customWidth="1"/>
    <col min="6856" max="6856" width="9" style="342" customWidth="1"/>
    <col min="6857" max="6858" width="4.5" style="342" customWidth="1"/>
    <col min="6859" max="6862" width="10.33203125" style="342" customWidth="1"/>
    <col min="6863" max="6863" width="27.08203125" style="342" customWidth="1"/>
    <col min="6864" max="6864" width="13.5" style="342" customWidth="1"/>
    <col min="6865" max="6865" width="12.58203125" style="342" customWidth="1"/>
    <col min="6866" max="6866" width="15.25" style="342" customWidth="1"/>
    <col min="6867" max="6867" width="14.08203125" style="342" customWidth="1"/>
    <col min="6868" max="6868" width="17.75" style="342" customWidth="1"/>
    <col min="6869" max="6869" width="9" style="342" customWidth="1"/>
    <col min="6870" max="6870" width="4.5" style="342" customWidth="1"/>
    <col min="6871" max="6871" width="4.33203125" style="342" customWidth="1"/>
    <col min="6872" max="6875" width="10.33203125" style="342" customWidth="1"/>
    <col min="6876" max="6876" width="27.08203125" style="342" customWidth="1"/>
    <col min="6877" max="6877" width="13.5" style="342" customWidth="1"/>
    <col min="6878" max="6878" width="12.58203125" style="342" customWidth="1"/>
    <col min="6879" max="6879" width="15.25" style="342" customWidth="1"/>
    <col min="6880" max="6880" width="14.08203125" style="342" customWidth="1"/>
    <col min="6881" max="6881" width="16.25" style="342" customWidth="1"/>
    <col min="6882" max="6882" width="9" style="342" customWidth="1"/>
    <col min="6883" max="6883" width="4.5" style="342" customWidth="1"/>
    <col min="6884" max="6884" width="4.08203125" style="342" customWidth="1"/>
    <col min="6885" max="6904" width="10.33203125" style="342" customWidth="1"/>
    <col min="6905" max="6905" width="27.08203125" style="342" bestFit="1" customWidth="1"/>
    <col min="6906" max="6906" width="13.5" style="342" customWidth="1"/>
    <col min="6907" max="6907" width="12.58203125" style="342" customWidth="1"/>
    <col min="6908" max="6908" width="15.25" style="342" customWidth="1"/>
    <col min="6909" max="6909" width="14.08203125" style="342" customWidth="1"/>
    <col min="6910" max="6910" width="17.75" style="342" customWidth="1"/>
    <col min="6911" max="6911" width="9" style="342" customWidth="1"/>
    <col min="6912" max="6912" width="4.5" style="342" customWidth="1"/>
    <col min="6913" max="6913" width="4.08203125" style="342" customWidth="1"/>
    <col min="6914" max="6916" width="10.33203125" style="342" customWidth="1"/>
    <col min="6917" max="7026" width="10.33203125" style="342"/>
    <col min="7027" max="7027" width="3.83203125" style="342" customWidth="1"/>
    <col min="7028" max="7028" width="18.58203125" style="342" customWidth="1"/>
    <col min="7029" max="7029" width="19.75" style="342" customWidth="1"/>
    <col min="7030" max="7030" width="8" style="342" customWidth="1"/>
    <col min="7031" max="7031" width="2.75" style="342" bestFit="1" customWidth="1"/>
    <col min="7032" max="7033" width="6.25" style="342" bestFit="1" customWidth="1"/>
    <col min="7034" max="7034" width="18.83203125" style="342" bestFit="1" customWidth="1"/>
    <col min="7035" max="7035" width="6.83203125" style="342" bestFit="1" customWidth="1"/>
    <col min="7036" max="7036" width="3.25" style="342" customWidth="1"/>
    <col min="7037" max="7037" width="7.5" style="342" customWidth="1"/>
    <col min="7038" max="7038" width="2.75" style="342" bestFit="1" customWidth="1"/>
    <col min="7039" max="7040" width="6.25" style="342" customWidth="1"/>
    <col min="7041" max="7041" width="4.5" style="342" bestFit="1" customWidth="1"/>
    <col min="7042" max="7042" width="11.25" style="342" customWidth="1"/>
    <col min="7043" max="7061" width="10.33203125" style="342" customWidth="1"/>
    <col min="7062" max="7062" width="27.08203125" style="342" customWidth="1"/>
    <col min="7063" max="7063" width="13.5" style="342" customWidth="1"/>
    <col min="7064" max="7064" width="12.58203125" style="342" customWidth="1"/>
    <col min="7065" max="7065" width="12.75" style="342" customWidth="1"/>
    <col min="7066" max="7066" width="14.08203125" style="342" customWidth="1"/>
    <col min="7067" max="7067" width="13.75" style="342" customWidth="1"/>
    <col min="7068" max="7068" width="9" style="342" customWidth="1"/>
    <col min="7069" max="7069" width="4.5" style="342" customWidth="1"/>
    <col min="7070" max="7072" width="10.33203125" style="342" customWidth="1"/>
    <col min="7073" max="7073" width="6.83203125" style="342" customWidth="1"/>
    <col min="7074" max="7093" width="10.33203125" style="342" customWidth="1"/>
    <col min="7094" max="7094" width="27.08203125" style="342" customWidth="1"/>
    <col min="7095" max="7095" width="13.5" style="342" customWidth="1"/>
    <col min="7096" max="7096" width="12.58203125" style="342" customWidth="1"/>
    <col min="7097" max="7097" width="12.75" style="342" customWidth="1"/>
    <col min="7098" max="7098" width="14.08203125" style="342" customWidth="1"/>
    <col min="7099" max="7099" width="13.75" style="342" customWidth="1"/>
    <col min="7100" max="7100" width="9" style="342" customWidth="1"/>
    <col min="7101" max="7101" width="4.5" style="342" customWidth="1"/>
    <col min="7102" max="7104" width="10.33203125" style="342" customWidth="1"/>
    <col min="7105" max="7105" width="6.25" style="342" customWidth="1"/>
    <col min="7106" max="7106" width="27.08203125" style="342" customWidth="1"/>
    <col min="7107" max="7107" width="13.5" style="342" customWidth="1"/>
    <col min="7108" max="7108" width="12.58203125" style="342" customWidth="1"/>
    <col min="7109" max="7109" width="17.08203125" style="342" customWidth="1"/>
    <col min="7110" max="7110" width="14.08203125" style="342" customWidth="1"/>
    <col min="7111" max="7111" width="13.75" style="342" customWidth="1"/>
    <col min="7112" max="7112" width="9" style="342" customWidth="1"/>
    <col min="7113" max="7114" width="4.5" style="342" customWidth="1"/>
    <col min="7115" max="7118" width="10.33203125" style="342" customWidth="1"/>
    <col min="7119" max="7119" width="27.08203125" style="342" customWidth="1"/>
    <col min="7120" max="7120" width="13.5" style="342" customWidth="1"/>
    <col min="7121" max="7121" width="12.58203125" style="342" customWidth="1"/>
    <col min="7122" max="7122" width="15.25" style="342" customWidth="1"/>
    <col min="7123" max="7123" width="14.08203125" style="342" customWidth="1"/>
    <col min="7124" max="7124" width="17.75" style="342" customWidth="1"/>
    <col min="7125" max="7125" width="9" style="342" customWidth="1"/>
    <col min="7126" max="7126" width="4.5" style="342" customWidth="1"/>
    <col min="7127" max="7127" width="4.33203125" style="342" customWidth="1"/>
    <col min="7128" max="7131" width="10.33203125" style="342" customWidth="1"/>
    <col min="7132" max="7132" width="27.08203125" style="342" customWidth="1"/>
    <col min="7133" max="7133" width="13.5" style="342" customWidth="1"/>
    <col min="7134" max="7134" width="12.58203125" style="342" customWidth="1"/>
    <col min="7135" max="7135" width="15.25" style="342" customWidth="1"/>
    <col min="7136" max="7136" width="14.08203125" style="342" customWidth="1"/>
    <col min="7137" max="7137" width="16.25" style="342" customWidth="1"/>
    <col min="7138" max="7138" width="9" style="342" customWidth="1"/>
    <col min="7139" max="7139" width="4.5" style="342" customWidth="1"/>
    <col min="7140" max="7140" width="4.08203125" style="342" customWidth="1"/>
    <col min="7141" max="7160" width="10.33203125" style="342" customWidth="1"/>
    <col min="7161" max="7161" width="27.08203125" style="342" bestFit="1" customWidth="1"/>
    <col min="7162" max="7162" width="13.5" style="342" customWidth="1"/>
    <col min="7163" max="7163" width="12.58203125" style="342" customWidth="1"/>
    <col min="7164" max="7164" width="15.25" style="342" customWidth="1"/>
    <col min="7165" max="7165" width="14.08203125" style="342" customWidth="1"/>
    <col min="7166" max="7166" width="17.75" style="342" customWidth="1"/>
    <col min="7167" max="7167" width="9" style="342" customWidth="1"/>
    <col min="7168" max="7168" width="4.5" style="342" customWidth="1"/>
    <col min="7169" max="7169" width="4.08203125" style="342" customWidth="1"/>
    <col min="7170" max="7172" width="10.33203125" style="342" customWidth="1"/>
    <col min="7173" max="7282" width="10.33203125" style="342"/>
    <col min="7283" max="7283" width="3.83203125" style="342" customWidth="1"/>
    <col min="7284" max="7284" width="18.58203125" style="342" customWidth="1"/>
    <col min="7285" max="7285" width="19.75" style="342" customWidth="1"/>
    <col min="7286" max="7286" width="8" style="342" customWidth="1"/>
    <col min="7287" max="7287" width="2.75" style="342" bestFit="1" customWidth="1"/>
    <col min="7288" max="7289" width="6.25" style="342" bestFit="1" customWidth="1"/>
    <col min="7290" max="7290" width="18.83203125" style="342" bestFit="1" customWidth="1"/>
    <col min="7291" max="7291" width="6.83203125" style="342" bestFit="1" customWidth="1"/>
    <col min="7292" max="7292" width="3.25" style="342" customWidth="1"/>
    <col min="7293" max="7293" width="7.5" style="342" customWidth="1"/>
    <col min="7294" max="7294" width="2.75" style="342" bestFit="1" customWidth="1"/>
    <col min="7295" max="7296" width="6.25" style="342" customWidth="1"/>
    <col min="7297" max="7297" width="4.5" style="342" bestFit="1" customWidth="1"/>
    <col min="7298" max="7298" width="11.25" style="342" customWidth="1"/>
    <col min="7299" max="7317" width="10.33203125" style="342" customWidth="1"/>
    <col min="7318" max="7318" width="27.08203125" style="342" customWidth="1"/>
    <col min="7319" max="7319" width="13.5" style="342" customWidth="1"/>
    <col min="7320" max="7320" width="12.58203125" style="342" customWidth="1"/>
    <col min="7321" max="7321" width="12.75" style="342" customWidth="1"/>
    <col min="7322" max="7322" width="14.08203125" style="342" customWidth="1"/>
    <col min="7323" max="7323" width="13.75" style="342" customWidth="1"/>
    <col min="7324" max="7324" width="9" style="342" customWidth="1"/>
    <col min="7325" max="7325" width="4.5" style="342" customWidth="1"/>
    <col min="7326" max="7328" width="10.33203125" style="342" customWidth="1"/>
    <col min="7329" max="7329" width="6.83203125" style="342" customWidth="1"/>
    <col min="7330" max="7349" width="10.33203125" style="342" customWidth="1"/>
    <col min="7350" max="7350" width="27.08203125" style="342" customWidth="1"/>
    <col min="7351" max="7351" width="13.5" style="342" customWidth="1"/>
    <col min="7352" max="7352" width="12.58203125" style="342" customWidth="1"/>
    <col min="7353" max="7353" width="12.75" style="342" customWidth="1"/>
    <col min="7354" max="7354" width="14.08203125" style="342" customWidth="1"/>
    <col min="7355" max="7355" width="13.75" style="342" customWidth="1"/>
    <col min="7356" max="7356" width="9" style="342" customWidth="1"/>
    <col min="7357" max="7357" width="4.5" style="342" customWidth="1"/>
    <col min="7358" max="7360" width="10.33203125" style="342" customWidth="1"/>
    <col min="7361" max="7361" width="6.25" style="342" customWidth="1"/>
    <col min="7362" max="7362" width="27.08203125" style="342" customWidth="1"/>
    <col min="7363" max="7363" width="13.5" style="342" customWidth="1"/>
    <col min="7364" max="7364" width="12.58203125" style="342" customWidth="1"/>
    <col min="7365" max="7365" width="17.08203125" style="342" customWidth="1"/>
    <col min="7366" max="7366" width="14.08203125" style="342" customWidth="1"/>
    <col min="7367" max="7367" width="13.75" style="342" customWidth="1"/>
    <col min="7368" max="7368" width="9" style="342" customWidth="1"/>
    <col min="7369" max="7370" width="4.5" style="342" customWidth="1"/>
    <col min="7371" max="7374" width="10.33203125" style="342" customWidth="1"/>
    <col min="7375" max="7375" width="27.08203125" style="342" customWidth="1"/>
    <col min="7376" max="7376" width="13.5" style="342" customWidth="1"/>
    <col min="7377" max="7377" width="12.58203125" style="342" customWidth="1"/>
    <col min="7378" max="7378" width="15.25" style="342" customWidth="1"/>
    <col min="7379" max="7379" width="14.08203125" style="342" customWidth="1"/>
    <col min="7380" max="7380" width="17.75" style="342" customWidth="1"/>
    <col min="7381" max="7381" width="9" style="342" customWidth="1"/>
    <col min="7382" max="7382" width="4.5" style="342" customWidth="1"/>
    <col min="7383" max="7383" width="4.33203125" style="342" customWidth="1"/>
    <col min="7384" max="7387" width="10.33203125" style="342" customWidth="1"/>
    <col min="7388" max="7388" width="27.08203125" style="342" customWidth="1"/>
    <col min="7389" max="7389" width="13.5" style="342" customWidth="1"/>
    <col min="7390" max="7390" width="12.58203125" style="342" customWidth="1"/>
    <col min="7391" max="7391" width="15.25" style="342" customWidth="1"/>
    <col min="7392" max="7392" width="14.08203125" style="342" customWidth="1"/>
    <col min="7393" max="7393" width="16.25" style="342" customWidth="1"/>
    <col min="7394" max="7394" width="9" style="342" customWidth="1"/>
    <col min="7395" max="7395" width="4.5" style="342" customWidth="1"/>
    <col min="7396" max="7396" width="4.08203125" style="342" customWidth="1"/>
    <col min="7397" max="7416" width="10.33203125" style="342" customWidth="1"/>
    <col min="7417" max="7417" width="27.08203125" style="342" bestFit="1" customWidth="1"/>
    <col min="7418" max="7418" width="13.5" style="342" customWidth="1"/>
    <col min="7419" max="7419" width="12.58203125" style="342" customWidth="1"/>
    <col min="7420" max="7420" width="15.25" style="342" customWidth="1"/>
    <col min="7421" max="7421" width="14.08203125" style="342" customWidth="1"/>
    <col min="7422" max="7422" width="17.75" style="342" customWidth="1"/>
    <col min="7423" max="7423" width="9" style="342" customWidth="1"/>
    <col min="7424" max="7424" width="4.5" style="342" customWidth="1"/>
    <col min="7425" max="7425" width="4.08203125" style="342" customWidth="1"/>
    <col min="7426" max="7428" width="10.33203125" style="342" customWidth="1"/>
    <col min="7429" max="7538" width="10.33203125" style="342"/>
    <col min="7539" max="7539" width="3.83203125" style="342" customWidth="1"/>
    <col min="7540" max="7540" width="18.58203125" style="342" customWidth="1"/>
    <col min="7541" max="7541" width="19.75" style="342" customWidth="1"/>
    <col min="7542" max="7542" width="8" style="342" customWidth="1"/>
    <col min="7543" max="7543" width="2.75" style="342" bestFit="1" customWidth="1"/>
    <col min="7544" max="7545" width="6.25" style="342" bestFit="1" customWidth="1"/>
    <col min="7546" max="7546" width="18.83203125" style="342" bestFit="1" customWidth="1"/>
    <col min="7547" max="7547" width="6.83203125" style="342" bestFit="1" customWidth="1"/>
    <col min="7548" max="7548" width="3.25" style="342" customWidth="1"/>
    <col min="7549" max="7549" width="7.5" style="342" customWidth="1"/>
    <col min="7550" max="7550" width="2.75" style="342" bestFit="1" customWidth="1"/>
    <col min="7551" max="7552" width="6.25" style="342" customWidth="1"/>
    <col min="7553" max="7553" width="4.5" style="342" bestFit="1" customWidth="1"/>
    <col min="7554" max="7554" width="11.25" style="342" customWidth="1"/>
    <col min="7555" max="7573" width="10.33203125" style="342" customWidth="1"/>
    <col min="7574" max="7574" width="27.08203125" style="342" customWidth="1"/>
    <col min="7575" max="7575" width="13.5" style="342" customWidth="1"/>
    <col min="7576" max="7576" width="12.58203125" style="342" customWidth="1"/>
    <col min="7577" max="7577" width="12.75" style="342" customWidth="1"/>
    <col min="7578" max="7578" width="14.08203125" style="342" customWidth="1"/>
    <col min="7579" max="7579" width="13.75" style="342" customWidth="1"/>
    <col min="7580" max="7580" width="9" style="342" customWidth="1"/>
    <col min="7581" max="7581" width="4.5" style="342" customWidth="1"/>
    <col min="7582" max="7584" width="10.33203125" style="342" customWidth="1"/>
    <col min="7585" max="7585" width="6.83203125" style="342" customWidth="1"/>
    <col min="7586" max="7605" width="10.33203125" style="342" customWidth="1"/>
    <col min="7606" max="7606" width="27.08203125" style="342" customWidth="1"/>
    <col min="7607" max="7607" width="13.5" style="342" customWidth="1"/>
    <col min="7608" max="7608" width="12.58203125" style="342" customWidth="1"/>
    <col min="7609" max="7609" width="12.75" style="342" customWidth="1"/>
    <col min="7610" max="7610" width="14.08203125" style="342" customWidth="1"/>
    <col min="7611" max="7611" width="13.75" style="342" customWidth="1"/>
    <col min="7612" max="7612" width="9" style="342" customWidth="1"/>
    <col min="7613" max="7613" width="4.5" style="342" customWidth="1"/>
    <col min="7614" max="7616" width="10.33203125" style="342" customWidth="1"/>
    <col min="7617" max="7617" width="6.25" style="342" customWidth="1"/>
    <col min="7618" max="7618" width="27.08203125" style="342" customWidth="1"/>
    <col min="7619" max="7619" width="13.5" style="342" customWidth="1"/>
    <col min="7620" max="7620" width="12.58203125" style="342" customWidth="1"/>
    <col min="7621" max="7621" width="17.08203125" style="342" customWidth="1"/>
    <col min="7622" max="7622" width="14.08203125" style="342" customWidth="1"/>
    <col min="7623" max="7623" width="13.75" style="342" customWidth="1"/>
    <col min="7624" max="7624" width="9" style="342" customWidth="1"/>
    <col min="7625" max="7626" width="4.5" style="342" customWidth="1"/>
    <col min="7627" max="7630" width="10.33203125" style="342" customWidth="1"/>
    <col min="7631" max="7631" width="27.08203125" style="342" customWidth="1"/>
    <col min="7632" max="7632" width="13.5" style="342" customWidth="1"/>
    <col min="7633" max="7633" width="12.58203125" style="342" customWidth="1"/>
    <col min="7634" max="7634" width="15.25" style="342" customWidth="1"/>
    <col min="7635" max="7635" width="14.08203125" style="342" customWidth="1"/>
    <col min="7636" max="7636" width="17.75" style="342" customWidth="1"/>
    <col min="7637" max="7637" width="9" style="342" customWidth="1"/>
    <col min="7638" max="7638" width="4.5" style="342" customWidth="1"/>
    <col min="7639" max="7639" width="4.33203125" style="342" customWidth="1"/>
    <col min="7640" max="7643" width="10.33203125" style="342" customWidth="1"/>
    <col min="7644" max="7644" width="27.08203125" style="342" customWidth="1"/>
    <col min="7645" max="7645" width="13.5" style="342" customWidth="1"/>
    <col min="7646" max="7646" width="12.58203125" style="342" customWidth="1"/>
    <col min="7647" max="7647" width="15.25" style="342" customWidth="1"/>
    <col min="7648" max="7648" width="14.08203125" style="342" customWidth="1"/>
    <col min="7649" max="7649" width="16.25" style="342" customWidth="1"/>
    <col min="7650" max="7650" width="9" style="342" customWidth="1"/>
    <col min="7651" max="7651" width="4.5" style="342" customWidth="1"/>
    <col min="7652" max="7652" width="4.08203125" style="342" customWidth="1"/>
    <col min="7653" max="7672" width="10.33203125" style="342" customWidth="1"/>
    <col min="7673" max="7673" width="27.08203125" style="342" bestFit="1" customWidth="1"/>
    <col min="7674" max="7674" width="13.5" style="342" customWidth="1"/>
    <col min="7675" max="7675" width="12.58203125" style="342" customWidth="1"/>
    <col min="7676" max="7676" width="15.25" style="342" customWidth="1"/>
    <col min="7677" max="7677" width="14.08203125" style="342" customWidth="1"/>
    <col min="7678" max="7678" width="17.75" style="342" customWidth="1"/>
    <col min="7679" max="7679" width="9" style="342" customWidth="1"/>
    <col min="7680" max="7680" width="4.5" style="342" customWidth="1"/>
    <col min="7681" max="7681" width="4.08203125" style="342" customWidth="1"/>
    <col min="7682" max="7684" width="10.33203125" style="342" customWidth="1"/>
    <col min="7685" max="7794" width="10.33203125" style="342"/>
    <col min="7795" max="7795" width="3.83203125" style="342" customWidth="1"/>
    <col min="7796" max="7796" width="18.58203125" style="342" customWidth="1"/>
    <col min="7797" max="7797" width="19.75" style="342" customWidth="1"/>
    <col min="7798" max="7798" width="8" style="342" customWidth="1"/>
    <col min="7799" max="7799" width="2.75" style="342" bestFit="1" customWidth="1"/>
    <col min="7800" max="7801" width="6.25" style="342" bestFit="1" customWidth="1"/>
    <col min="7802" max="7802" width="18.83203125" style="342" bestFit="1" customWidth="1"/>
    <col min="7803" max="7803" width="6.83203125" style="342" bestFit="1" customWidth="1"/>
    <col min="7804" max="7804" width="3.25" style="342" customWidth="1"/>
    <col min="7805" max="7805" width="7.5" style="342" customWidth="1"/>
    <col min="7806" max="7806" width="2.75" style="342" bestFit="1" customWidth="1"/>
    <col min="7807" max="7808" width="6.25" style="342" customWidth="1"/>
    <col min="7809" max="7809" width="4.5" style="342" bestFit="1" customWidth="1"/>
    <col min="7810" max="7810" width="11.25" style="342" customWidth="1"/>
    <col min="7811" max="7829" width="10.33203125" style="342" customWidth="1"/>
    <col min="7830" max="7830" width="27.08203125" style="342" customWidth="1"/>
    <col min="7831" max="7831" width="13.5" style="342" customWidth="1"/>
    <col min="7832" max="7832" width="12.58203125" style="342" customWidth="1"/>
    <col min="7833" max="7833" width="12.75" style="342" customWidth="1"/>
    <col min="7834" max="7834" width="14.08203125" style="342" customWidth="1"/>
    <col min="7835" max="7835" width="13.75" style="342" customWidth="1"/>
    <col min="7836" max="7836" width="9" style="342" customWidth="1"/>
    <col min="7837" max="7837" width="4.5" style="342" customWidth="1"/>
    <col min="7838" max="7840" width="10.33203125" style="342" customWidth="1"/>
    <col min="7841" max="7841" width="6.83203125" style="342" customWidth="1"/>
    <col min="7842" max="7861" width="10.33203125" style="342" customWidth="1"/>
    <col min="7862" max="7862" width="27.08203125" style="342" customWidth="1"/>
    <col min="7863" max="7863" width="13.5" style="342" customWidth="1"/>
    <col min="7864" max="7864" width="12.58203125" style="342" customWidth="1"/>
    <col min="7865" max="7865" width="12.75" style="342" customWidth="1"/>
    <col min="7866" max="7866" width="14.08203125" style="342" customWidth="1"/>
    <col min="7867" max="7867" width="13.75" style="342" customWidth="1"/>
    <col min="7868" max="7868" width="9" style="342" customWidth="1"/>
    <col min="7869" max="7869" width="4.5" style="342" customWidth="1"/>
    <col min="7870" max="7872" width="10.33203125" style="342" customWidth="1"/>
    <col min="7873" max="7873" width="6.25" style="342" customWidth="1"/>
    <col min="7874" max="7874" width="27.08203125" style="342" customWidth="1"/>
    <col min="7875" max="7875" width="13.5" style="342" customWidth="1"/>
    <col min="7876" max="7876" width="12.58203125" style="342" customWidth="1"/>
    <col min="7877" max="7877" width="17.08203125" style="342" customWidth="1"/>
    <col min="7878" max="7878" width="14.08203125" style="342" customWidth="1"/>
    <col min="7879" max="7879" width="13.75" style="342" customWidth="1"/>
    <col min="7880" max="7880" width="9" style="342" customWidth="1"/>
    <col min="7881" max="7882" width="4.5" style="342" customWidth="1"/>
    <col min="7883" max="7886" width="10.33203125" style="342" customWidth="1"/>
    <col min="7887" max="7887" width="27.08203125" style="342" customWidth="1"/>
    <col min="7888" max="7888" width="13.5" style="342" customWidth="1"/>
    <col min="7889" max="7889" width="12.58203125" style="342" customWidth="1"/>
    <col min="7890" max="7890" width="15.25" style="342" customWidth="1"/>
    <col min="7891" max="7891" width="14.08203125" style="342" customWidth="1"/>
    <col min="7892" max="7892" width="17.75" style="342" customWidth="1"/>
    <col min="7893" max="7893" width="9" style="342" customWidth="1"/>
    <col min="7894" max="7894" width="4.5" style="342" customWidth="1"/>
    <col min="7895" max="7895" width="4.33203125" style="342" customWidth="1"/>
    <col min="7896" max="7899" width="10.33203125" style="342" customWidth="1"/>
    <col min="7900" max="7900" width="27.08203125" style="342" customWidth="1"/>
    <col min="7901" max="7901" width="13.5" style="342" customWidth="1"/>
    <col min="7902" max="7902" width="12.58203125" style="342" customWidth="1"/>
    <col min="7903" max="7903" width="15.25" style="342" customWidth="1"/>
    <col min="7904" max="7904" width="14.08203125" style="342" customWidth="1"/>
    <col min="7905" max="7905" width="16.25" style="342" customWidth="1"/>
    <col min="7906" max="7906" width="9" style="342" customWidth="1"/>
    <col min="7907" max="7907" width="4.5" style="342" customWidth="1"/>
    <col min="7908" max="7908" width="4.08203125" style="342" customWidth="1"/>
    <col min="7909" max="7928" width="10.33203125" style="342" customWidth="1"/>
    <col min="7929" max="7929" width="27.08203125" style="342" bestFit="1" customWidth="1"/>
    <col min="7930" max="7930" width="13.5" style="342" customWidth="1"/>
    <col min="7931" max="7931" width="12.58203125" style="342" customWidth="1"/>
    <col min="7932" max="7932" width="15.25" style="342" customWidth="1"/>
    <col min="7933" max="7933" width="14.08203125" style="342" customWidth="1"/>
    <col min="7934" max="7934" width="17.75" style="342" customWidth="1"/>
    <col min="7935" max="7935" width="9" style="342" customWidth="1"/>
    <col min="7936" max="7936" width="4.5" style="342" customWidth="1"/>
    <col min="7937" max="7937" width="4.08203125" style="342" customWidth="1"/>
    <col min="7938" max="7940" width="10.33203125" style="342" customWidth="1"/>
    <col min="7941" max="8050" width="10.33203125" style="342"/>
    <col min="8051" max="8051" width="3.83203125" style="342" customWidth="1"/>
    <col min="8052" max="8052" width="18.58203125" style="342" customWidth="1"/>
    <col min="8053" max="8053" width="19.75" style="342" customWidth="1"/>
    <col min="8054" max="8054" width="8" style="342" customWidth="1"/>
    <col min="8055" max="8055" width="2.75" style="342" bestFit="1" customWidth="1"/>
    <col min="8056" max="8057" width="6.25" style="342" bestFit="1" customWidth="1"/>
    <col min="8058" max="8058" width="18.83203125" style="342" bestFit="1" customWidth="1"/>
    <col min="8059" max="8059" width="6.83203125" style="342" bestFit="1" customWidth="1"/>
    <col min="8060" max="8060" width="3.25" style="342" customWidth="1"/>
    <col min="8061" max="8061" width="7.5" style="342" customWidth="1"/>
    <col min="8062" max="8062" width="2.75" style="342" bestFit="1" customWidth="1"/>
    <col min="8063" max="8064" width="6.25" style="342" customWidth="1"/>
    <col min="8065" max="8065" width="4.5" style="342" bestFit="1" customWidth="1"/>
    <col min="8066" max="8066" width="11.25" style="342" customWidth="1"/>
    <col min="8067" max="8085" width="10.33203125" style="342" customWidth="1"/>
    <col min="8086" max="8086" width="27.08203125" style="342" customWidth="1"/>
    <col min="8087" max="8087" width="13.5" style="342" customWidth="1"/>
    <col min="8088" max="8088" width="12.58203125" style="342" customWidth="1"/>
    <col min="8089" max="8089" width="12.75" style="342" customWidth="1"/>
    <col min="8090" max="8090" width="14.08203125" style="342" customWidth="1"/>
    <col min="8091" max="8091" width="13.75" style="342" customWidth="1"/>
    <col min="8092" max="8092" width="9" style="342" customWidth="1"/>
    <col min="8093" max="8093" width="4.5" style="342" customWidth="1"/>
    <col min="8094" max="8096" width="10.33203125" style="342" customWidth="1"/>
    <col min="8097" max="8097" width="6.83203125" style="342" customWidth="1"/>
    <col min="8098" max="8117" width="10.33203125" style="342" customWidth="1"/>
    <col min="8118" max="8118" width="27.08203125" style="342" customWidth="1"/>
    <col min="8119" max="8119" width="13.5" style="342" customWidth="1"/>
    <col min="8120" max="8120" width="12.58203125" style="342" customWidth="1"/>
    <col min="8121" max="8121" width="12.75" style="342" customWidth="1"/>
    <col min="8122" max="8122" width="14.08203125" style="342" customWidth="1"/>
    <col min="8123" max="8123" width="13.75" style="342" customWidth="1"/>
    <col min="8124" max="8124" width="9" style="342" customWidth="1"/>
    <col min="8125" max="8125" width="4.5" style="342" customWidth="1"/>
    <col min="8126" max="8128" width="10.33203125" style="342" customWidth="1"/>
    <col min="8129" max="8129" width="6.25" style="342" customWidth="1"/>
    <col min="8130" max="8130" width="27.08203125" style="342" customWidth="1"/>
    <col min="8131" max="8131" width="13.5" style="342" customWidth="1"/>
    <col min="8132" max="8132" width="12.58203125" style="342" customWidth="1"/>
    <col min="8133" max="8133" width="17.08203125" style="342" customWidth="1"/>
    <col min="8134" max="8134" width="14.08203125" style="342" customWidth="1"/>
    <col min="8135" max="8135" width="13.75" style="342" customWidth="1"/>
    <col min="8136" max="8136" width="9" style="342" customWidth="1"/>
    <col min="8137" max="8138" width="4.5" style="342" customWidth="1"/>
    <col min="8139" max="8142" width="10.33203125" style="342" customWidth="1"/>
    <col min="8143" max="8143" width="27.08203125" style="342" customWidth="1"/>
    <col min="8144" max="8144" width="13.5" style="342" customWidth="1"/>
    <col min="8145" max="8145" width="12.58203125" style="342" customWidth="1"/>
    <col min="8146" max="8146" width="15.25" style="342" customWidth="1"/>
    <col min="8147" max="8147" width="14.08203125" style="342" customWidth="1"/>
    <col min="8148" max="8148" width="17.75" style="342" customWidth="1"/>
    <col min="8149" max="8149" width="9" style="342" customWidth="1"/>
    <col min="8150" max="8150" width="4.5" style="342" customWidth="1"/>
    <col min="8151" max="8151" width="4.33203125" style="342" customWidth="1"/>
    <col min="8152" max="8155" width="10.33203125" style="342" customWidth="1"/>
    <col min="8156" max="8156" width="27.08203125" style="342" customWidth="1"/>
    <col min="8157" max="8157" width="13.5" style="342" customWidth="1"/>
    <col min="8158" max="8158" width="12.58203125" style="342" customWidth="1"/>
    <col min="8159" max="8159" width="15.25" style="342" customWidth="1"/>
    <col min="8160" max="8160" width="14.08203125" style="342" customWidth="1"/>
    <col min="8161" max="8161" width="16.25" style="342" customWidth="1"/>
    <col min="8162" max="8162" width="9" style="342" customWidth="1"/>
    <col min="8163" max="8163" width="4.5" style="342" customWidth="1"/>
    <col min="8164" max="8164" width="4.08203125" style="342" customWidth="1"/>
    <col min="8165" max="8184" width="10.33203125" style="342" customWidth="1"/>
    <col min="8185" max="8185" width="27.08203125" style="342" bestFit="1" customWidth="1"/>
    <col min="8186" max="8186" width="13.5" style="342" customWidth="1"/>
    <col min="8187" max="8187" width="12.58203125" style="342" customWidth="1"/>
    <col min="8188" max="8188" width="15.25" style="342" customWidth="1"/>
    <col min="8189" max="8189" width="14.08203125" style="342" customWidth="1"/>
    <col min="8190" max="8190" width="17.75" style="342" customWidth="1"/>
    <col min="8191" max="8191" width="9" style="342" customWidth="1"/>
    <col min="8192" max="8192" width="4.5" style="342" customWidth="1"/>
    <col min="8193" max="8193" width="4.08203125" style="342" customWidth="1"/>
    <col min="8194" max="8196" width="10.33203125" style="342" customWidth="1"/>
    <col min="8197" max="8306" width="10.33203125" style="342"/>
    <col min="8307" max="8307" width="3.83203125" style="342" customWidth="1"/>
    <col min="8308" max="8308" width="18.58203125" style="342" customWidth="1"/>
    <col min="8309" max="8309" width="19.75" style="342" customWidth="1"/>
    <col min="8310" max="8310" width="8" style="342" customWidth="1"/>
    <col min="8311" max="8311" width="2.75" style="342" bestFit="1" customWidth="1"/>
    <col min="8312" max="8313" width="6.25" style="342" bestFit="1" customWidth="1"/>
    <col min="8314" max="8314" width="18.83203125" style="342" bestFit="1" customWidth="1"/>
    <col min="8315" max="8315" width="6.83203125" style="342" bestFit="1" customWidth="1"/>
    <col min="8316" max="8316" width="3.25" style="342" customWidth="1"/>
    <col min="8317" max="8317" width="7.5" style="342" customWidth="1"/>
    <col min="8318" max="8318" width="2.75" style="342" bestFit="1" customWidth="1"/>
    <col min="8319" max="8320" width="6.25" style="342" customWidth="1"/>
    <col min="8321" max="8321" width="4.5" style="342" bestFit="1" customWidth="1"/>
    <col min="8322" max="8322" width="11.25" style="342" customWidth="1"/>
    <col min="8323" max="8341" width="10.33203125" style="342" customWidth="1"/>
    <col min="8342" max="8342" width="27.08203125" style="342" customWidth="1"/>
    <col min="8343" max="8343" width="13.5" style="342" customWidth="1"/>
    <col min="8344" max="8344" width="12.58203125" style="342" customWidth="1"/>
    <col min="8345" max="8345" width="12.75" style="342" customWidth="1"/>
    <col min="8346" max="8346" width="14.08203125" style="342" customWidth="1"/>
    <col min="8347" max="8347" width="13.75" style="342" customWidth="1"/>
    <col min="8348" max="8348" width="9" style="342" customWidth="1"/>
    <col min="8349" max="8349" width="4.5" style="342" customWidth="1"/>
    <col min="8350" max="8352" width="10.33203125" style="342" customWidth="1"/>
    <col min="8353" max="8353" width="6.83203125" style="342" customWidth="1"/>
    <col min="8354" max="8373" width="10.33203125" style="342" customWidth="1"/>
    <col min="8374" max="8374" width="27.08203125" style="342" customWidth="1"/>
    <col min="8375" max="8375" width="13.5" style="342" customWidth="1"/>
    <col min="8376" max="8376" width="12.58203125" style="342" customWidth="1"/>
    <col min="8377" max="8377" width="12.75" style="342" customWidth="1"/>
    <col min="8378" max="8378" width="14.08203125" style="342" customWidth="1"/>
    <col min="8379" max="8379" width="13.75" style="342" customWidth="1"/>
    <col min="8380" max="8380" width="9" style="342" customWidth="1"/>
    <col min="8381" max="8381" width="4.5" style="342" customWidth="1"/>
    <col min="8382" max="8384" width="10.33203125" style="342" customWidth="1"/>
    <col min="8385" max="8385" width="6.25" style="342" customWidth="1"/>
    <col min="8386" max="8386" width="27.08203125" style="342" customWidth="1"/>
    <col min="8387" max="8387" width="13.5" style="342" customWidth="1"/>
    <col min="8388" max="8388" width="12.58203125" style="342" customWidth="1"/>
    <col min="8389" max="8389" width="17.08203125" style="342" customWidth="1"/>
    <col min="8390" max="8390" width="14.08203125" style="342" customWidth="1"/>
    <col min="8391" max="8391" width="13.75" style="342" customWidth="1"/>
    <col min="8392" max="8392" width="9" style="342" customWidth="1"/>
    <col min="8393" max="8394" width="4.5" style="342" customWidth="1"/>
    <col min="8395" max="8398" width="10.33203125" style="342" customWidth="1"/>
    <col min="8399" max="8399" width="27.08203125" style="342" customWidth="1"/>
    <col min="8400" max="8400" width="13.5" style="342" customWidth="1"/>
    <col min="8401" max="8401" width="12.58203125" style="342" customWidth="1"/>
    <col min="8402" max="8402" width="15.25" style="342" customWidth="1"/>
    <col min="8403" max="8403" width="14.08203125" style="342" customWidth="1"/>
    <col min="8404" max="8404" width="17.75" style="342" customWidth="1"/>
    <col min="8405" max="8405" width="9" style="342" customWidth="1"/>
    <col min="8406" max="8406" width="4.5" style="342" customWidth="1"/>
    <col min="8407" max="8407" width="4.33203125" style="342" customWidth="1"/>
    <col min="8408" max="8411" width="10.33203125" style="342" customWidth="1"/>
    <col min="8412" max="8412" width="27.08203125" style="342" customWidth="1"/>
    <col min="8413" max="8413" width="13.5" style="342" customWidth="1"/>
    <col min="8414" max="8414" width="12.58203125" style="342" customWidth="1"/>
    <col min="8415" max="8415" width="15.25" style="342" customWidth="1"/>
    <col min="8416" max="8416" width="14.08203125" style="342" customWidth="1"/>
    <col min="8417" max="8417" width="16.25" style="342" customWidth="1"/>
    <col min="8418" max="8418" width="9" style="342" customWidth="1"/>
    <col min="8419" max="8419" width="4.5" style="342" customWidth="1"/>
    <col min="8420" max="8420" width="4.08203125" style="342" customWidth="1"/>
    <col min="8421" max="8440" width="10.33203125" style="342" customWidth="1"/>
    <col min="8441" max="8441" width="27.08203125" style="342" bestFit="1" customWidth="1"/>
    <col min="8442" max="8442" width="13.5" style="342" customWidth="1"/>
    <col min="8443" max="8443" width="12.58203125" style="342" customWidth="1"/>
    <col min="8444" max="8444" width="15.25" style="342" customWidth="1"/>
    <col min="8445" max="8445" width="14.08203125" style="342" customWidth="1"/>
    <col min="8446" max="8446" width="17.75" style="342" customWidth="1"/>
    <col min="8447" max="8447" width="9" style="342" customWidth="1"/>
    <col min="8448" max="8448" width="4.5" style="342" customWidth="1"/>
    <col min="8449" max="8449" width="4.08203125" style="342" customWidth="1"/>
    <col min="8450" max="8452" width="10.33203125" style="342" customWidth="1"/>
    <col min="8453" max="8562" width="10.33203125" style="342"/>
    <col min="8563" max="8563" width="3.83203125" style="342" customWidth="1"/>
    <col min="8564" max="8564" width="18.58203125" style="342" customWidth="1"/>
    <col min="8565" max="8565" width="19.75" style="342" customWidth="1"/>
    <col min="8566" max="8566" width="8" style="342" customWidth="1"/>
    <col min="8567" max="8567" width="2.75" style="342" bestFit="1" customWidth="1"/>
    <col min="8568" max="8569" width="6.25" style="342" bestFit="1" customWidth="1"/>
    <col min="8570" max="8570" width="18.83203125" style="342" bestFit="1" customWidth="1"/>
    <col min="8571" max="8571" width="6.83203125" style="342" bestFit="1" customWidth="1"/>
    <col min="8572" max="8572" width="3.25" style="342" customWidth="1"/>
    <col min="8573" max="8573" width="7.5" style="342" customWidth="1"/>
    <col min="8574" max="8574" width="2.75" style="342" bestFit="1" customWidth="1"/>
    <col min="8575" max="8576" width="6.25" style="342" customWidth="1"/>
    <col min="8577" max="8577" width="4.5" style="342" bestFit="1" customWidth="1"/>
    <col min="8578" max="8578" width="11.25" style="342" customWidth="1"/>
    <col min="8579" max="8597" width="10.33203125" style="342" customWidth="1"/>
    <col min="8598" max="8598" width="27.08203125" style="342" customWidth="1"/>
    <col min="8599" max="8599" width="13.5" style="342" customWidth="1"/>
    <col min="8600" max="8600" width="12.58203125" style="342" customWidth="1"/>
    <col min="8601" max="8601" width="12.75" style="342" customWidth="1"/>
    <col min="8602" max="8602" width="14.08203125" style="342" customWidth="1"/>
    <col min="8603" max="8603" width="13.75" style="342" customWidth="1"/>
    <col min="8604" max="8604" width="9" style="342" customWidth="1"/>
    <col min="8605" max="8605" width="4.5" style="342" customWidth="1"/>
    <col min="8606" max="8608" width="10.33203125" style="342" customWidth="1"/>
    <col min="8609" max="8609" width="6.83203125" style="342" customWidth="1"/>
    <col min="8610" max="8629" width="10.33203125" style="342" customWidth="1"/>
    <col min="8630" max="8630" width="27.08203125" style="342" customWidth="1"/>
    <col min="8631" max="8631" width="13.5" style="342" customWidth="1"/>
    <col min="8632" max="8632" width="12.58203125" style="342" customWidth="1"/>
    <col min="8633" max="8633" width="12.75" style="342" customWidth="1"/>
    <col min="8634" max="8634" width="14.08203125" style="342" customWidth="1"/>
    <col min="8635" max="8635" width="13.75" style="342" customWidth="1"/>
    <col min="8636" max="8636" width="9" style="342" customWidth="1"/>
    <col min="8637" max="8637" width="4.5" style="342" customWidth="1"/>
    <col min="8638" max="8640" width="10.33203125" style="342" customWidth="1"/>
    <col min="8641" max="8641" width="6.25" style="342" customWidth="1"/>
    <col min="8642" max="8642" width="27.08203125" style="342" customWidth="1"/>
    <col min="8643" max="8643" width="13.5" style="342" customWidth="1"/>
    <col min="8644" max="8644" width="12.58203125" style="342" customWidth="1"/>
    <col min="8645" max="8645" width="17.08203125" style="342" customWidth="1"/>
    <col min="8646" max="8646" width="14.08203125" style="342" customWidth="1"/>
    <col min="8647" max="8647" width="13.75" style="342" customWidth="1"/>
    <col min="8648" max="8648" width="9" style="342" customWidth="1"/>
    <col min="8649" max="8650" width="4.5" style="342" customWidth="1"/>
    <col min="8651" max="8654" width="10.33203125" style="342" customWidth="1"/>
    <col min="8655" max="8655" width="27.08203125" style="342" customWidth="1"/>
    <col min="8656" max="8656" width="13.5" style="342" customWidth="1"/>
    <col min="8657" max="8657" width="12.58203125" style="342" customWidth="1"/>
    <col min="8658" max="8658" width="15.25" style="342" customWidth="1"/>
    <col min="8659" max="8659" width="14.08203125" style="342" customWidth="1"/>
    <col min="8660" max="8660" width="17.75" style="342" customWidth="1"/>
    <col min="8661" max="8661" width="9" style="342" customWidth="1"/>
    <col min="8662" max="8662" width="4.5" style="342" customWidth="1"/>
    <col min="8663" max="8663" width="4.33203125" style="342" customWidth="1"/>
    <col min="8664" max="8667" width="10.33203125" style="342" customWidth="1"/>
    <col min="8668" max="8668" width="27.08203125" style="342" customWidth="1"/>
    <col min="8669" max="8669" width="13.5" style="342" customWidth="1"/>
    <col min="8670" max="8670" width="12.58203125" style="342" customWidth="1"/>
    <col min="8671" max="8671" width="15.25" style="342" customWidth="1"/>
    <col min="8672" max="8672" width="14.08203125" style="342" customWidth="1"/>
    <col min="8673" max="8673" width="16.25" style="342" customWidth="1"/>
    <col min="8674" max="8674" width="9" style="342" customWidth="1"/>
    <col min="8675" max="8675" width="4.5" style="342" customWidth="1"/>
    <col min="8676" max="8676" width="4.08203125" style="342" customWidth="1"/>
    <col min="8677" max="8696" width="10.33203125" style="342" customWidth="1"/>
    <col min="8697" max="8697" width="27.08203125" style="342" bestFit="1" customWidth="1"/>
    <col min="8698" max="8698" width="13.5" style="342" customWidth="1"/>
    <col min="8699" max="8699" width="12.58203125" style="342" customWidth="1"/>
    <col min="8700" max="8700" width="15.25" style="342" customWidth="1"/>
    <col min="8701" max="8701" width="14.08203125" style="342" customWidth="1"/>
    <col min="8702" max="8702" width="17.75" style="342" customWidth="1"/>
    <col min="8703" max="8703" width="9" style="342" customWidth="1"/>
    <col min="8704" max="8704" width="4.5" style="342" customWidth="1"/>
    <col min="8705" max="8705" width="4.08203125" style="342" customWidth="1"/>
    <col min="8706" max="8708" width="10.33203125" style="342" customWidth="1"/>
    <col min="8709" max="8818" width="10.33203125" style="342"/>
    <col min="8819" max="8819" width="3.83203125" style="342" customWidth="1"/>
    <col min="8820" max="8820" width="18.58203125" style="342" customWidth="1"/>
    <col min="8821" max="8821" width="19.75" style="342" customWidth="1"/>
    <col min="8822" max="8822" width="8" style="342" customWidth="1"/>
    <col min="8823" max="8823" width="2.75" style="342" bestFit="1" customWidth="1"/>
    <col min="8824" max="8825" width="6.25" style="342" bestFit="1" customWidth="1"/>
    <col min="8826" max="8826" width="18.83203125" style="342" bestFit="1" customWidth="1"/>
    <col min="8827" max="8827" width="6.83203125" style="342" bestFit="1" customWidth="1"/>
    <col min="8828" max="8828" width="3.25" style="342" customWidth="1"/>
    <col min="8829" max="8829" width="7.5" style="342" customWidth="1"/>
    <col min="8830" max="8830" width="2.75" style="342" bestFit="1" customWidth="1"/>
    <col min="8831" max="8832" width="6.25" style="342" customWidth="1"/>
    <col min="8833" max="8833" width="4.5" style="342" bestFit="1" customWidth="1"/>
    <col min="8834" max="8834" width="11.25" style="342" customWidth="1"/>
    <col min="8835" max="8853" width="10.33203125" style="342" customWidth="1"/>
    <col min="8854" max="8854" width="27.08203125" style="342" customWidth="1"/>
    <col min="8855" max="8855" width="13.5" style="342" customWidth="1"/>
    <col min="8856" max="8856" width="12.58203125" style="342" customWidth="1"/>
    <col min="8857" max="8857" width="12.75" style="342" customWidth="1"/>
    <col min="8858" max="8858" width="14.08203125" style="342" customWidth="1"/>
    <col min="8859" max="8859" width="13.75" style="342" customWidth="1"/>
    <col min="8860" max="8860" width="9" style="342" customWidth="1"/>
    <col min="8861" max="8861" width="4.5" style="342" customWidth="1"/>
    <col min="8862" max="8864" width="10.33203125" style="342" customWidth="1"/>
    <col min="8865" max="8865" width="6.83203125" style="342" customWidth="1"/>
    <col min="8866" max="8885" width="10.33203125" style="342" customWidth="1"/>
    <col min="8886" max="8886" width="27.08203125" style="342" customWidth="1"/>
    <col min="8887" max="8887" width="13.5" style="342" customWidth="1"/>
    <col min="8888" max="8888" width="12.58203125" style="342" customWidth="1"/>
    <col min="8889" max="8889" width="12.75" style="342" customWidth="1"/>
    <col min="8890" max="8890" width="14.08203125" style="342" customWidth="1"/>
    <col min="8891" max="8891" width="13.75" style="342" customWidth="1"/>
    <col min="8892" max="8892" width="9" style="342" customWidth="1"/>
    <col min="8893" max="8893" width="4.5" style="342" customWidth="1"/>
    <col min="8894" max="8896" width="10.33203125" style="342" customWidth="1"/>
    <col min="8897" max="8897" width="6.25" style="342" customWidth="1"/>
    <col min="8898" max="8898" width="27.08203125" style="342" customWidth="1"/>
    <col min="8899" max="8899" width="13.5" style="342" customWidth="1"/>
    <col min="8900" max="8900" width="12.58203125" style="342" customWidth="1"/>
    <col min="8901" max="8901" width="17.08203125" style="342" customWidth="1"/>
    <col min="8902" max="8902" width="14.08203125" style="342" customWidth="1"/>
    <col min="8903" max="8903" width="13.75" style="342" customWidth="1"/>
    <col min="8904" max="8904" width="9" style="342" customWidth="1"/>
    <col min="8905" max="8906" width="4.5" style="342" customWidth="1"/>
    <col min="8907" max="8910" width="10.33203125" style="342" customWidth="1"/>
    <col min="8911" max="8911" width="27.08203125" style="342" customWidth="1"/>
    <col min="8912" max="8912" width="13.5" style="342" customWidth="1"/>
    <col min="8913" max="8913" width="12.58203125" style="342" customWidth="1"/>
    <col min="8914" max="8914" width="15.25" style="342" customWidth="1"/>
    <col min="8915" max="8915" width="14.08203125" style="342" customWidth="1"/>
    <col min="8916" max="8916" width="17.75" style="342" customWidth="1"/>
    <col min="8917" max="8917" width="9" style="342" customWidth="1"/>
    <col min="8918" max="8918" width="4.5" style="342" customWidth="1"/>
    <col min="8919" max="8919" width="4.33203125" style="342" customWidth="1"/>
    <col min="8920" max="8923" width="10.33203125" style="342" customWidth="1"/>
    <col min="8924" max="8924" width="27.08203125" style="342" customWidth="1"/>
    <col min="8925" max="8925" width="13.5" style="342" customWidth="1"/>
    <col min="8926" max="8926" width="12.58203125" style="342" customWidth="1"/>
    <col min="8927" max="8927" width="15.25" style="342" customWidth="1"/>
    <col min="8928" max="8928" width="14.08203125" style="342" customWidth="1"/>
    <col min="8929" max="8929" width="16.25" style="342" customWidth="1"/>
    <col min="8930" max="8930" width="9" style="342" customWidth="1"/>
    <col min="8931" max="8931" width="4.5" style="342" customWidth="1"/>
    <col min="8932" max="8932" width="4.08203125" style="342" customWidth="1"/>
    <col min="8933" max="8952" width="10.33203125" style="342" customWidth="1"/>
    <col min="8953" max="8953" width="27.08203125" style="342" bestFit="1" customWidth="1"/>
    <col min="8954" max="8954" width="13.5" style="342" customWidth="1"/>
    <col min="8955" max="8955" width="12.58203125" style="342" customWidth="1"/>
    <col min="8956" max="8956" width="15.25" style="342" customWidth="1"/>
    <col min="8957" max="8957" width="14.08203125" style="342" customWidth="1"/>
    <col min="8958" max="8958" width="17.75" style="342" customWidth="1"/>
    <col min="8959" max="8959" width="9" style="342" customWidth="1"/>
    <col min="8960" max="8960" width="4.5" style="342" customWidth="1"/>
    <col min="8961" max="8961" width="4.08203125" style="342" customWidth="1"/>
    <col min="8962" max="8964" width="10.33203125" style="342" customWidth="1"/>
    <col min="8965" max="9074" width="10.33203125" style="342"/>
    <col min="9075" max="9075" width="3.83203125" style="342" customWidth="1"/>
    <col min="9076" max="9076" width="18.58203125" style="342" customWidth="1"/>
    <col min="9077" max="9077" width="19.75" style="342" customWidth="1"/>
    <col min="9078" max="9078" width="8" style="342" customWidth="1"/>
    <col min="9079" max="9079" width="2.75" style="342" bestFit="1" customWidth="1"/>
    <col min="9080" max="9081" width="6.25" style="342" bestFit="1" customWidth="1"/>
    <col min="9082" max="9082" width="18.83203125" style="342" bestFit="1" customWidth="1"/>
    <col min="9083" max="9083" width="6.83203125" style="342" bestFit="1" customWidth="1"/>
    <col min="9084" max="9084" width="3.25" style="342" customWidth="1"/>
    <col min="9085" max="9085" width="7.5" style="342" customWidth="1"/>
    <col min="9086" max="9086" width="2.75" style="342" bestFit="1" customWidth="1"/>
    <col min="9087" max="9088" width="6.25" style="342" customWidth="1"/>
    <col min="9089" max="9089" width="4.5" style="342" bestFit="1" customWidth="1"/>
    <col min="9090" max="9090" width="11.25" style="342" customWidth="1"/>
    <col min="9091" max="9109" width="10.33203125" style="342" customWidth="1"/>
    <col min="9110" max="9110" width="27.08203125" style="342" customWidth="1"/>
    <col min="9111" max="9111" width="13.5" style="342" customWidth="1"/>
    <col min="9112" max="9112" width="12.58203125" style="342" customWidth="1"/>
    <col min="9113" max="9113" width="12.75" style="342" customWidth="1"/>
    <col min="9114" max="9114" width="14.08203125" style="342" customWidth="1"/>
    <col min="9115" max="9115" width="13.75" style="342" customWidth="1"/>
    <col min="9116" max="9116" width="9" style="342" customWidth="1"/>
    <col min="9117" max="9117" width="4.5" style="342" customWidth="1"/>
    <col min="9118" max="9120" width="10.33203125" style="342" customWidth="1"/>
    <col min="9121" max="9121" width="6.83203125" style="342" customWidth="1"/>
    <col min="9122" max="9141" width="10.33203125" style="342" customWidth="1"/>
    <col min="9142" max="9142" width="27.08203125" style="342" customWidth="1"/>
    <col min="9143" max="9143" width="13.5" style="342" customWidth="1"/>
    <col min="9144" max="9144" width="12.58203125" style="342" customWidth="1"/>
    <col min="9145" max="9145" width="12.75" style="342" customWidth="1"/>
    <col min="9146" max="9146" width="14.08203125" style="342" customWidth="1"/>
    <col min="9147" max="9147" width="13.75" style="342" customWidth="1"/>
    <col min="9148" max="9148" width="9" style="342" customWidth="1"/>
    <col min="9149" max="9149" width="4.5" style="342" customWidth="1"/>
    <col min="9150" max="9152" width="10.33203125" style="342" customWidth="1"/>
    <col min="9153" max="9153" width="6.25" style="342" customWidth="1"/>
    <col min="9154" max="9154" width="27.08203125" style="342" customWidth="1"/>
    <col min="9155" max="9155" width="13.5" style="342" customWidth="1"/>
    <col min="9156" max="9156" width="12.58203125" style="342" customWidth="1"/>
    <col min="9157" max="9157" width="17.08203125" style="342" customWidth="1"/>
    <col min="9158" max="9158" width="14.08203125" style="342" customWidth="1"/>
    <col min="9159" max="9159" width="13.75" style="342" customWidth="1"/>
    <col min="9160" max="9160" width="9" style="342" customWidth="1"/>
    <col min="9161" max="9162" width="4.5" style="342" customWidth="1"/>
    <col min="9163" max="9166" width="10.33203125" style="342" customWidth="1"/>
    <col min="9167" max="9167" width="27.08203125" style="342" customWidth="1"/>
    <col min="9168" max="9168" width="13.5" style="342" customWidth="1"/>
    <col min="9169" max="9169" width="12.58203125" style="342" customWidth="1"/>
    <col min="9170" max="9170" width="15.25" style="342" customWidth="1"/>
    <col min="9171" max="9171" width="14.08203125" style="342" customWidth="1"/>
    <col min="9172" max="9172" width="17.75" style="342" customWidth="1"/>
    <col min="9173" max="9173" width="9" style="342" customWidth="1"/>
    <col min="9174" max="9174" width="4.5" style="342" customWidth="1"/>
    <col min="9175" max="9175" width="4.33203125" style="342" customWidth="1"/>
    <col min="9176" max="9179" width="10.33203125" style="342" customWidth="1"/>
    <col min="9180" max="9180" width="27.08203125" style="342" customWidth="1"/>
    <col min="9181" max="9181" width="13.5" style="342" customWidth="1"/>
    <col min="9182" max="9182" width="12.58203125" style="342" customWidth="1"/>
    <col min="9183" max="9183" width="15.25" style="342" customWidth="1"/>
    <col min="9184" max="9184" width="14.08203125" style="342" customWidth="1"/>
    <col min="9185" max="9185" width="16.25" style="342" customWidth="1"/>
    <col min="9186" max="9186" width="9" style="342" customWidth="1"/>
    <col min="9187" max="9187" width="4.5" style="342" customWidth="1"/>
    <col min="9188" max="9188" width="4.08203125" style="342" customWidth="1"/>
    <col min="9189" max="9208" width="10.33203125" style="342" customWidth="1"/>
    <col min="9209" max="9209" width="27.08203125" style="342" bestFit="1" customWidth="1"/>
    <col min="9210" max="9210" width="13.5" style="342" customWidth="1"/>
    <col min="9211" max="9211" width="12.58203125" style="342" customWidth="1"/>
    <col min="9212" max="9212" width="15.25" style="342" customWidth="1"/>
    <col min="9213" max="9213" width="14.08203125" style="342" customWidth="1"/>
    <col min="9214" max="9214" width="17.75" style="342" customWidth="1"/>
    <col min="9215" max="9215" width="9" style="342" customWidth="1"/>
    <col min="9216" max="9216" width="4.5" style="342" customWidth="1"/>
    <col min="9217" max="9217" width="4.08203125" style="342" customWidth="1"/>
    <col min="9218" max="9220" width="10.33203125" style="342" customWidth="1"/>
    <col min="9221" max="9330" width="10.33203125" style="342"/>
    <col min="9331" max="9331" width="3.83203125" style="342" customWidth="1"/>
    <col min="9332" max="9332" width="18.58203125" style="342" customWidth="1"/>
    <col min="9333" max="9333" width="19.75" style="342" customWidth="1"/>
    <col min="9334" max="9334" width="8" style="342" customWidth="1"/>
    <col min="9335" max="9335" width="2.75" style="342" bestFit="1" customWidth="1"/>
    <col min="9336" max="9337" width="6.25" style="342" bestFit="1" customWidth="1"/>
    <col min="9338" max="9338" width="18.83203125" style="342" bestFit="1" customWidth="1"/>
    <col min="9339" max="9339" width="6.83203125" style="342" bestFit="1" customWidth="1"/>
    <col min="9340" max="9340" width="3.25" style="342" customWidth="1"/>
    <col min="9341" max="9341" width="7.5" style="342" customWidth="1"/>
    <col min="9342" max="9342" width="2.75" style="342" bestFit="1" customWidth="1"/>
    <col min="9343" max="9344" width="6.25" style="342" customWidth="1"/>
    <col min="9345" max="9345" width="4.5" style="342" bestFit="1" customWidth="1"/>
    <col min="9346" max="9346" width="11.25" style="342" customWidth="1"/>
    <col min="9347" max="9365" width="10.33203125" style="342" customWidth="1"/>
    <col min="9366" max="9366" width="27.08203125" style="342" customWidth="1"/>
    <col min="9367" max="9367" width="13.5" style="342" customWidth="1"/>
    <col min="9368" max="9368" width="12.58203125" style="342" customWidth="1"/>
    <col min="9369" max="9369" width="12.75" style="342" customWidth="1"/>
    <col min="9370" max="9370" width="14.08203125" style="342" customWidth="1"/>
    <col min="9371" max="9371" width="13.75" style="342" customWidth="1"/>
    <col min="9372" max="9372" width="9" style="342" customWidth="1"/>
    <col min="9373" max="9373" width="4.5" style="342" customWidth="1"/>
    <col min="9374" max="9376" width="10.33203125" style="342" customWidth="1"/>
    <col min="9377" max="9377" width="6.83203125" style="342" customWidth="1"/>
    <col min="9378" max="9397" width="10.33203125" style="342" customWidth="1"/>
    <col min="9398" max="9398" width="27.08203125" style="342" customWidth="1"/>
    <col min="9399" max="9399" width="13.5" style="342" customWidth="1"/>
    <col min="9400" max="9400" width="12.58203125" style="342" customWidth="1"/>
    <col min="9401" max="9401" width="12.75" style="342" customWidth="1"/>
    <col min="9402" max="9402" width="14.08203125" style="342" customWidth="1"/>
    <col min="9403" max="9403" width="13.75" style="342" customWidth="1"/>
    <col min="9404" max="9404" width="9" style="342" customWidth="1"/>
    <col min="9405" max="9405" width="4.5" style="342" customWidth="1"/>
    <col min="9406" max="9408" width="10.33203125" style="342" customWidth="1"/>
    <col min="9409" max="9409" width="6.25" style="342" customWidth="1"/>
    <col min="9410" max="9410" width="27.08203125" style="342" customWidth="1"/>
    <col min="9411" max="9411" width="13.5" style="342" customWidth="1"/>
    <col min="9412" max="9412" width="12.58203125" style="342" customWidth="1"/>
    <col min="9413" max="9413" width="17.08203125" style="342" customWidth="1"/>
    <col min="9414" max="9414" width="14.08203125" style="342" customWidth="1"/>
    <col min="9415" max="9415" width="13.75" style="342" customWidth="1"/>
    <col min="9416" max="9416" width="9" style="342" customWidth="1"/>
    <col min="9417" max="9418" width="4.5" style="342" customWidth="1"/>
    <col min="9419" max="9422" width="10.33203125" style="342" customWidth="1"/>
    <col min="9423" max="9423" width="27.08203125" style="342" customWidth="1"/>
    <col min="9424" max="9424" width="13.5" style="342" customWidth="1"/>
    <col min="9425" max="9425" width="12.58203125" style="342" customWidth="1"/>
    <col min="9426" max="9426" width="15.25" style="342" customWidth="1"/>
    <col min="9427" max="9427" width="14.08203125" style="342" customWidth="1"/>
    <col min="9428" max="9428" width="17.75" style="342" customWidth="1"/>
    <col min="9429" max="9429" width="9" style="342" customWidth="1"/>
    <col min="9430" max="9430" width="4.5" style="342" customWidth="1"/>
    <col min="9431" max="9431" width="4.33203125" style="342" customWidth="1"/>
    <col min="9432" max="9435" width="10.33203125" style="342" customWidth="1"/>
    <col min="9436" max="9436" width="27.08203125" style="342" customWidth="1"/>
    <col min="9437" max="9437" width="13.5" style="342" customWidth="1"/>
    <col min="9438" max="9438" width="12.58203125" style="342" customWidth="1"/>
    <col min="9439" max="9439" width="15.25" style="342" customWidth="1"/>
    <col min="9440" max="9440" width="14.08203125" style="342" customWidth="1"/>
    <col min="9441" max="9441" width="16.25" style="342" customWidth="1"/>
    <col min="9442" max="9442" width="9" style="342" customWidth="1"/>
    <col min="9443" max="9443" width="4.5" style="342" customWidth="1"/>
    <col min="9444" max="9444" width="4.08203125" style="342" customWidth="1"/>
    <col min="9445" max="9464" width="10.33203125" style="342" customWidth="1"/>
    <col min="9465" max="9465" width="27.08203125" style="342" bestFit="1" customWidth="1"/>
    <col min="9466" max="9466" width="13.5" style="342" customWidth="1"/>
    <col min="9467" max="9467" width="12.58203125" style="342" customWidth="1"/>
    <col min="9468" max="9468" width="15.25" style="342" customWidth="1"/>
    <col min="9469" max="9469" width="14.08203125" style="342" customWidth="1"/>
    <col min="9470" max="9470" width="17.75" style="342" customWidth="1"/>
    <col min="9471" max="9471" width="9" style="342" customWidth="1"/>
    <col min="9472" max="9472" width="4.5" style="342" customWidth="1"/>
    <col min="9473" max="9473" width="4.08203125" style="342" customWidth="1"/>
    <col min="9474" max="9476" width="10.33203125" style="342" customWidth="1"/>
    <col min="9477" max="9586" width="10.33203125" style="342"/>
    <col min="9587" max="9587" width="3.83203125" style="342" customWidth="1"/>
    <col min="9588" max="9588" width="18.58203125" style="342" customWidth="1"/>
    <col min="9589" max="9589" width="19.75" style="342" customWidth="1"/>
    <col min="9590" max="9590" width="8" style="342" customWidth="1"/>
    <col min="9591" max="9591" width="2.75" style="342" bestFit="1" customWidth="1"/>
    <col min="9592" max="9593" width="6.25" style="342" bestFit="1" customWidth="1"/>
    <col min="9594" max="9594" width="18.83203125" style="342" bestFit="1" customWidth="1"/>
    <col min="9595" max="9595" width="6.83203125" style="342" bestFit="1" customWidth="1"/>
    <col min="9596" max="9596" width="3.25" style="342" customWidth="1"/>
    <col min="9597" max="9597" width="7.5" style="342" customWidth="1"/>
    <col min="9598" max="9598" width="2.75" style="342" bestFit="1" customWidth="1"/>
    <col min="9599" max="9600" width="6.25" style="342" customWidth="1"/>
    <col min="9601" max="9601" width="4.5" style="342" bestFit="1" customWidth="1"/>
    <col min="9602" max="9602" width="11.25" style="342" customWidth="1"/>
    <col min="9603" max="9621" width="10.33203125" style="342" customWidth="1"/>
    <col min="9622" max="9622" width="27.08203125" style="342" customWidth="1"/>
    <col min="9623" max="9623" width="13.5" style="342" customWidth="1"/>
    <col min="9624" max="9624" width="12.58203125" style="342" customWidth="1"/>
    <col min="9625" max="9625" width="12.75" style="342" customWidth="1"/>
    <col min="9626" max="9626" width="14.08203125" style="342" customWidth="1"/>
    <col min="9627" max="9627" width="13.75" style="342" customWidth="1"/>
    <col min="9628" max="9628" width="9" style="342" customWidth="1"/>
    <col min="9629" max="9629" width="4.5" style="342" customWidth="1"/>
    <col min="9630" max="9632" width="10.33203125" style="342" customWidth="1"/>
    <col min="9633" max="9633" width="6.83203125" style="342" customWidth="1"/>
    <col min="9634" max="9653" width="10.33203125" style="342" customWidth="1"/>
    <col min="9654" max="9654" width="27.08203125" style="342" customWidth="1"/>
    <col min="9655" max="9655" width="13.5" style="342" customWidth="1"/>
    <col min="9656" max="9656" width="12.58203125" style="342" customWidth="1"/>
    <col min="9657" max="9657" width="12.75" style="342" customWidth="1"/>
    <col min="9658" max="9658" width="14.08203125" style="342" customWidth="1"/>
    <col min="9659" max="9659" width="13.75" style="342" customWidth="1"/>
    <col min="9660" max="9660" width="9" style="342" customWidth="1"/>
    <col min="9661" max="9661" width="4.5" style="342" customWidth="1"/>
    <col min="9662" max="9664" width="10.33203125" style="342" customWidth="1"/>
    <col min="9665" max="9665" width="6.25" style="342" customWidth="1"/>
    <col min="9666" max="9666" width="27.08203125" style="342" customWidth="1"/>
    <col min="9667" max="9667" width="13.5" style="342" customWidth="1"/>
    <col min="9668" max="9668" width="12.58203125" style="342" customWidth="1"/>
    <col min="9669" max="9669" width="17.08203125" style="342" customWidth="1"/>
    <col min="9670" max="9670" width="14.08203125" style="342" customWidth="1"/>
    <col min="9671" max="9671" width="13.75" style="342" customWidth="1"/>
    <col min="9672" max="9672" width="9" style="342" customWidth="1"/>
    <col min="9673" max="9674" width="4.5" style="342" customWidth="1"/>
    <col min="9675" max="9678" width="10.33203125" style="342" customWidth="1"/>
    <col min="9679" max="9679" width="27.08203125" style="342" customWidth="1"/>
    <col min="9680" max="9680" width="13.5" style="342" customWidth="1"/>
    <col min="9681" max="9681" width="12.58203125" style="342" customWidth="1"/>
    <col min="9682" max="9682" width="15.25" style="342" customWidth="1"/>
    <col min="9683" max="9683" width="14.08203125" style="342" customWidth="1"/>
    <col min="9684" max="9684" width="17.75" style="342" customWidth="1"/>
    <col min="9685" max="9685" width="9" style="342" customWidth="1"/>
    <col min="9686" max="9686" width="4.5" style="342" customWidth="1"/>
    <col min="9687" max="9687" width="4.33203125" style="342" customWidth="1"/>
    <col min="9688" max="9691" width="10.33203125" style="342" customWidth="1"/>
    <col min="9692" max="9692" width="27.08203125" style="342" customWidth="1"/>
    <col min="9693" max="9693" width="13.5" style="342" customWidth="1"/>
    <col min="9694" max="9694" width="12.58203125" style="342" customWidth="1"/>
    <col min="9695" max="9695" width="15.25" style="342" customWidth="1"/>
    <col min="9696" max="9696" width="14.08203125" style="342" customWidth="1"/>
    <col min="9697" max="9697" width="16.25" style="342" customWidth="1"/>
    <col min="9698" max="9698" width="9" style="342" customWidth="1"/>
    <col min="9699" max="9699" width="4.5" style="342" customWidth="1"/>
    <col min="9700" max="9700" width="4.08203125" style="342" customWidth="1"/>
    <col min="9701" max="9720" width="10.33203125" style="342" customWidth="1"/>
    <col min="9721" max="9721" width="27.08203125" style="342" bestFit="1" customWidth="1"/>
    <col min="9722" max="9722" width="13.5" style="342" customWidth="1"/>
    <col min="9723" max="9723" width="12.58203125" style="342" customWidth="1"/>
    <col min="9724" max="9724" width="15.25" style="342" customWidth="1"/>
    <col min="9725" max="9725" width="14.08203125" style="342" customWidth="1"/>
    <col min="9726" max="9726" width="17.75" style="342" customWidth="1"/>
    <col min="9727" max="9727" width="9" style="342" customWidth="1"/>
    <col min="9728" max="9728" width="4.5" style="342" customWidth="1"/>
    <col min="9729" max="9729" width="4.08203125" style="342" customWidth="1"/>
    <col min="9730" max="9732" width="10.33203125" style="342" customWidth="1"/>
    <col min="9733" max="9842" width="10.33203125" style="342"/>
    <col min="9843" max="9843" width="3.83203125" style="342" customWidth="1"/>
    <col min="9844" max="9844" width="18.58203125" style="342" customWidth="1"/>
    <col min="9845" max="9845" width="19.75" style="342" customWidth="1"/>
    <col min="9846" max="9846" width="8" style="342" customWidth="1"/>
    <col min="9847" max="9847" width="2.75" style="342" bestFit="1" customWidth="1"/>
    <col min="9848" max="9849" width="6.25" style="342" bestFit="1" customWidth="1"/>
    <col min="9850" max="9850" width="18.83203125" style="342" bestFit="1" customWidth="1"/>
    <col min="9851" max="9851" width="6.83203125" style="342" bestFit="1" customWidth="1"/>
    <col min="9852" max="9852" width="3.25" style="342" customWidth="1"/>
    <col min="9853" max="9853" width="7.5" style="342" customWidth="1"/>
    <col min="9854" max="9854" width="2.75" style="342" bestFit="1" customWidth="1"/>
    <col min="9855" max="9856" width="6.25" style="342" customWidth="1"/>
    <col min="9857" max="9857" width="4.5" style="342" bestFit="1" customWidth="1"/>
    <col min="9858" max="9858" width="11.25" style="342" customWidth="1"/>
    <col min="9859" max="9877" width="10.33203125" style="342" customWidth="1"/>
    <col min="9878" max="9878" width="27.08203125" style="342" customWidth="1"/>
    <col min="9879" max="9879" width="13.5" style="342" customWidth="1"/>
    <col min="9880" max="9880" width="12.58203125" style="342" customWidth="1"/>
    <col min="9881" max="9881" width="12.75" style="342" customWidth="1"/>
    <col min="9882" max="9882" width="14.08203125" style="342" customWidth="1"/>
    <col min="9883" max="9883" width="13.75" style="342" customWidth="1"/>
    <col min="9884" max="9884" width="9" style="342" customWidth="1"/>
    <col min="9885" max="9885" width="4.5" style="342" customWidth="1"/>
    <col min="9886" max="9888" width="10.33203125" style="342" customWidth="1"/>
    <col min="9889" max="9889" width="6.83203125" style="342" customWidth="1"/>
    <col min="9890" max="9909" width="10.33203125" style="342" customWidth="1"/>
    <col min="9910" max="9910" width="27.08203125" style="342" customWidth="1"/>
    <col min="9911" max="9911" width="13.5" style="342" customWidth="1"/>
    <col min="9912" max="9912" width="12.58203125" style="342" customWidth="1"/>
    <col min="9913" max="9913" width="12.75" style="342" customWidth="1"/>
    <col min="9914" max="9914" width="14.08203125" style="342" customWidth="1"/>
    <col min="9915" max="9915" width="13.75" style="342" customWidth="1"/>
    <col min="9916" max="9916" width="9" style="342" customWidth="1"/>
    <col min="9917" max="9917" width="4.5" style="342" customWidth="1"/>
    <col min="9918" max="9920" width="10.33203125" style="342" customWidth="1"/>
    <col min="9921" max="9921" width="6.25" style="342" customWidth="1"/>
    <col min="9922" max="9922" width="27.08203125" style="342" customWidth="1"/>
    <col min="9923" max="9923" width="13.5" style="342" customWidth="1"/>
    <col min="9924" max="9924" width="12.58203125" style="342" customWidth="1"/>
    <col min="9925" max="9925" width="17.08203125" style="342" customWidth="1"/>
    <col min="9926" max="9926" width="14.08203125" style="342" customWidth="1"/>
    <col min="9927" max="9927" width="13.75" style="342" customWidth="1"/>
    <col min="9928" max="9928" width="9" style="342" customWidth="1"/>
    <col min="9929" max="9930" width="4.5" style="342" customWidth="1"/>
    <col min="9931" max="9934" width="10.33203125" style="342" customWidth="1"/>
    <col min="9935" max="9935" width="27.08203125" style="342" customWidth="1"/>
    <col min="9936" max="9936" width="13.5" style="342" customWidth="1"/>
    <col min="9937" max="9937" width="12.58203125" style="342" customWidth="1"/>
    <col min="9938" max="9938" width="15.25" style="342" customWidth="1"/>
    <col min="9939" max="9939" width="14.08203125" style="342" customWidth="1"/>
    <col min="9940" max="9940" width="17.75" style="342" customWidth="1"/>
    <col min="9941" max="9941" width="9" style="342" customWidth="1"/>
    <col min="9942" max="9942" width="4.5" style="342" customWidth="1"/>
    <col min="9943" max="9943" width="4.33203125" style="342" customWidth="1"/>
    <col min="9944" max="9947" width="10.33203125" style="342" customWidth="1"/>
    <col min="9948" max="9948" width="27.08203125" style="342" customWidth="1"/>
    <col min="9949" max="9949" width="13.5" style="342" customWidth="1"/>
    <col min="9950" max="9950" width="12.58203125" style="342" customWidth="1"/>
    <col min="9951" max="9951" width="15.25" style="342" customWidth="1"/>
    <col min="9952" max="9952" width="14.08203125" style="342" customWidth="1"/>
    <col min="9953" max="9953" width="16.25" style="342" customWidth="1"/>
    <col min="9954" max="9954" width="9" style="342" customWidth="1"/>
    <col min="9955" max="9955" width="4.5" style="342" customWidth="1"/>
    <col min="9956" max="9956" width="4.08203125" style="342" customWidth="1"/>
    <col min="9957" max="9976" width="10.33203125" style="342" customWidth="1"/>
    <col min="9977" max="9977" width="27.08203125" style="342" bestFit="1" customWidth="1"/>
    <col min="9978" max="9978" width="13.5" style="342" customWidth="1"/>
    <col min="9979" max="9979" width="12.58203125" style="342" customWidth="1"/>
    <col min="9980" max="9980" width="15.25" style="342" customWidth="1"/>
    <col min="9981" max="9981" width="14.08203125" style="342" customWidth="1"/>
    <col min="9982" max="9982" width="17.75" style="342" customWidth="1"/>
    <col min="9983" max="9983" width="9" style="342" customWidth="1"/>
    <col min="9984" max="9984" width="4.5" style="342" customWidth="1"/>
    <col min="9985" max="9985" width="4.08203125" style="342" customWidth="1"/>
    <col min="9986" max="9988" width="10.33203125" style="342" customWidth="1"/>
    <col min="9989" max="10098" width="10.33203125" style="342"/>
    <col min="10099" max="10099" width="3.83203125" style="342" customWidth="1"/>
    <col min="10100" max="10100" width="18.58203125" style="342" customWidth="1"/>
    <col min="10101" max="10101" width="19.75" style="342" customWidth="1"/>
    <col min="10102" max="10102" width="8" style="342" customWidth="1"/>
    <col min="10103" max="10103" width="2.75" style="342" bestFit="1" customWidth="1"/>
    <col min="10104" max="10105" width="6.25" style="342" bestFit="1" customWidth="1"/>
    <col min="10106" max="10106" width="18.83203125" style="342" bestFit="1" customWidth="1"/>
    <col min="10107" max="10107" width="6.83203125" style="342" bestFit="1" customWidth="1"/>
    <col min="10108" max="10108" width="3.25" style="342" customWidth="1"/>
    <col min="10109" max="10109" width="7.5" style="342" customWidth="1"/>
    <col min="10110" max="10110" width="2.75" style="342" bestFit="1" customWidth="1"/>
    <col min="10111" max="10112" width="6.25" style="342" customWidth="1"/>
    <col min="10113" max="10113" width="4.5" style="342" bestFit="1" customWidth="1"/>
    <col min="10114" max="10114" width="11.25" style="342" customWidth="1"/>
    <col min="10115" max="10133" width="10.33203125" style="342" customWidth="1"/>
    <col min="10134" max="10134" width="27.08203125" style="342" customWidth="1"/>
    <col min="10135" max="10135" width="13.5" style="342" customWidth="1"/>
    <col min="10136" max="10136" width="12.58203125" style="342" customWidth="1"/>
    <col min="10137" max="10137" width="12.75" style="342" customWidth="1"/>
    <col min="10138" max="10138" width="14.08203125" style="342" customWidth="1"/>
    <col min="10139" max="10139" width="13.75" style="342" customWidth="1"/>
    <col min="10140" max="10140" width="9" style="342" customWidth="1"/>
    <col min="10141" max="10141" width="4.5" style="342" customWidth="1"/>
    <col min="10142" max="10144" width="10.33203125" style="342" customWidth="1"/>
    <col min="10145" max="10145" width="6.83203125" style="342" customWidth="1"/>
    <col min="10146" max="10165" width="10.33203125" style="342" customWidth="1"/>
    <col min="10166" max="10166" width="27.08203125" style="342" customWidth="1"/>
    <col min="10167" max="10167" width="13.5" style="342" customWidth="1"/>
    <col min="10168" max="10168" width="12.58203125" style="342" customWidth="1"/>
    <col min="10169" max="10169" width="12.75" style="342" customWidth="1"/>
    <col min="10170" max="10170" width="14.08203125" style="342" customWidth="1"/>
    <col min="10171" max="10171" width="13.75" style="342" customWidth="1"/>
    <col min="10172" max="10172" width="9" style="342" customWidth="1"/>
    <col min="10173" max="10173" width="4.5" style="342" customWidth="1"/>
    <col min="10174" max="10176" width="10.33203125" style="342" customWidth="1"/>
    <col min="10177" max="10177" width="6.25" style="342" customWidth="1"/>
    <col min="10178" max="10178" width="27.08203125" style="342" customWidth="1"/>
    <col min="10179" max="10179" width="13.5" style="342" customWidth="1"/>
    <col min="10180" max="10180" width="12.58203125" style="342" customWidth="1"/>
    <col min="10181" max="10181" width="17.08203125" style="342" customWidth="1"/>
    <col min="10182" max="10182" width="14.08203125" style="342" customWidth="1"/>
    <col min="10183" max="10183" width="13.75" style="342" customWidth="1"/>
    <col min="10184" max="10184" width="9" style="342" customWidth="1"/>
    <col min="10185" max="10186" width="4.5" style="342" customWidth="1"/>
    <col min="10187" max="10190" width="10.33203125" style="342" customWidth="1"/>
    <col min="10191" max="10191" width="27.08203125" style="342" customWidth="1"/>
    <col min="10192" max="10192" width="13.5" style="342" customWidth="1"/>
    <col min="10193" max="10193" width="12.58203125" style="342" customWidth="1"/>
    <col min="10194" max="10194" width="15.25" style="342" customWidth="1"/>
    <col min="10195" max="10195" width="14.08203125" style="342" customWidth="1"/>
    <col min="10196" max="10196" width="17.75" style="342" customWidth="1"/>
    <col min="10197" max="10197" width="9" style="342" customWidth="1"/>
    <col min="10198" max="10198" width="4.5" style="342" customWidth="1"/>
    <col min="10199" max="10199" width="4.33203125" style="342" customWidth="1"/>
    <col min="10200" max="10203" width="10.33203125" style="342" customWidth="1"/>
    <col min="10204" max="10204" width="27.08203125" style="342" customWidth="1"/>
    <col min="10205" max="10205" width="13.5" style="342" customWidth="1"/>
    <col min="10206" max="10206" width="12.58203125" style="342" customWidth="1"/>
    <col min="10207" max="10207" width="15.25" style="342" customWidth="1"/>
    <col min="10208" max="10208" width="14.08203125" style="342" customWidth="1"/>
    <col min="10209" max="10209" width="16.25" style="342" customWidth="1"/>
    <col min="10210" max="10210" width="9" style="342" customWidth="1"/>
    <col min="10211" max="10211" width="4.5" style="342" customWidth="1"/>
    <col min="10212" max="10212" width="4.08203125" style="342" customWidth="1"/>
    <col min="10213" max="10232" width="10.33203125" style="342" customWidth="1"/>
    <col min="10233" max="10233" width="27.08203125" style="342" bestFit="1" customWidth="1"/>
    <col min="10234" max="10234" width="13.5" style="342" customWidth="1"/>
    <col min="10235" max="10235" width="12.58203125" style="342" customWidth="1"/>
    <col min="10236" max="10236" width="15.25" style="342" customWidth="1"/>
    <col min="10237" max="10237" width="14.08203125" style="342" customWidth="1"/>
    <col min="10238" max="10238" width="17.75" style="342" customWidth="1"/>
    <col min="10239" max="10239" width="9" style="342" customWidth="1"/>
    <col min="10240" max="10240" width="4.5" style="342" customWidth="1"/>
    <col min="10241" max="10241" width="4.08203125" style="342" customWidth="1"/>
    <col min="10242" max="10244" width="10.33203125" style="342" customWidth="1"/>
    <col min="10245" max="10354" width="10.33203125" style="342"/>
    <col min="10355" max="10355" width="3.83203125" style="342" customWidth="1"/>
    <col min="10356" max="10356" width="18.58203125" style="342" customWidth="1"/>
    <col min="10357" max="10357" width="19.75" style="342" customWidth="1"/>
    <col min="10358" max="10358" width="8" style="342" customWidth="1"/>
    <col min="10359" max="10359" width="2.75" style="342" bestFit="1" customWidth="1"/>
    <col min="10360" max="10361" width="6.25" style="342" bestFit="1" customWidth="1"/>
    <col min="10362" max="10362" width="18.83203125" style="342" bestFit="1" customWidth="1"/>
    <col min="10363" max="10363" width="6.83203125" style="342" bestFit="1" customWidth="1"/>
    <col min="10364" max="10364" width="3.25" style="342" customWidth="1"/>
    <col min="10365" max="10365" width="7.5" style="342" customWidth="1"/>
    <col min="10366" max="10366" width="2.75" style="342" bestFit="1" customWidth="1"/>
    <col min="10367" max="10368" width="6.25" style="342" customWidth="1"/>
    <col min="10369" max="10369" width="4.5" style="342" bestFit="1" customWidth="1"/>
    <col min="10370" max="10370" width="11.25" style="342" customWidth="1"/>
    <col min="10371" max="10389" width="10.33203125" style="342" customWidth="1"/>
    <col min="10390" max="10390" width="27.08203125" style="342" customWidth="1"/>
    <col min="10391" max="10391" width="13.5" style="342" customWidth="1"/>
    <col min="10392" max="10392" width="12.58203125" style="342" customWidth="1"/>
    <col min="10393" max="10393" width="12.75" style="342" customWidth="1"/>
    <col min="10394" max="10394" width="14.08203125" style="342" customWidth="1"/>
    <col min="10395" max="10395" width="13.75" style="342" customWidth="1"/>
    <col min="10396" max="10396" width="9" style="342" customWidth="1"/>
    <col min="10397" max="10397" width="4.5" style="342" customWidth="1"/>
    <col min="10398" max="10400" width="10.33203125" style="342" customWidth="1"/>
    <col min="10401" max="10401" width="6.83203125" style="342" customWidth="1"/>
    <col min="10402" max="10421" width="10.33203125" style="342" customWidth="1"/>
    <col min="10422" max="10422" width="27.08203125" style="342" customWidth="1"/>
    <col min="10423" max="10423" width="13.5" style="342" customWidth="1"/>
    <col min="10424" max="10424" width="12.58203125" style="342" customWidth="1"/>
    <col min="10425" max="10425" width="12.75" style="342" customWidth="1"/>
    <col min="10426" max="10426" width="14.08203125" style="342" customWidth="1"/>
    <col min="10427" max="10427" width="13.75" style="342" customWidth="1"/>
    <col min="10428" max="10428" width="9" style="342" customWidth="1"/>
    <col min="10429" max="10429" width="4.5" style="342" customWidth="1"/>
    <col min="10430" max="10432" width="10.33203125" style="342" customWidth="1"/>
    <col min="10433" max="10433" width="6.25" style="342" customWidth="1"/>
    <col min="10434" max="10434" width="27.08203125" style="342" customWidth="1"/>
    <col min="10435" max="10435" width="13.5" style="342" customWidth="1"/>
    <col min="10436" max="10436" width="12.58203125" style="342" customWidth="1"/>
    <col min="10437" max="10437" width="17.08203125" style="342" customWidth="1"/>
    <col min="10438" max="10438" width="14.08203125" style="342" customWidth="1"/>
    <col min="10439" max="10439" width="13.75" style="342" customWidth="1"/>
    <col min="10440" max="10440" width="9" style="342" customWidth="1"/>
    <col min="10441" max="10442" width="4.5" style="342" customWidth="1"/>
    <col min="10443" max="10446" width="10.33203125" style="342" customWidth="1"/>
    <col min="10447" max="10447" width="27.08203125" style="342" customWidth="1"/>
    <col min="10448" max="10448" width="13.5" style="342" customWidth="1"/>
    <col min="10449" max="10449" width="12.58203125" style="342" customWidth="1"/>
    <col min="10450" max="10450" width="15.25" style="342" customWidth="1"/>
    <col min="10451" max="10451" width="14.08203125" style="342" customWidth="1"/>
    <col min="10452" max="10452" width="17.75" style="342" customWidth="1"/>
    <col min="10453" max="10453" width="9" style="342" customWidth="1"/>
    <col min="10454" max="10454" width="4.5" style="342" customWidth="1"/>
    <col min="10455" max="10455" width="4.33203125" style="342" customWidth="1"/>
    <col min="10456" max="10459" width="10.33203125" style="342" customWidth="1"/>
    <col min="10460" max="10460" width="27.08203125" style="342" customWidth="1"/>
    <col min="10461" max="10461" width="13.5" style="342" customWidth="1"/>
    <col min="10462" max="10462" width="12.58203125" style="342" customWidth="1"/>
    <col min="10463" max="10463" width="15.25" style="342" customWidth="1"/>
    <col min="10464" max="10464" width="14.08203125" style="342" customWidth="1"/>
    <col min="10465" max="10465" width="16.25" style="342" customWidth="1"/>
    <col min="10466" max="10466" width="9" style="342" customWidth="1"/>
    <col min="10467" max="10467" width="4.5" style="342" customWidth="1"/>
    <col min="10468" max="10468" width="4.08203125" style="342" customWidth="1"/>
    <col min="10469" max="10488" width="10.33203125" style="342" customWidth="1"/>
    <col min="10489" max="10489" width="27.08203125" style="342" bestFit="1" customWidth="1"/>
    <col min="10490" max="10490" width="13.5" style="342" customWidth="1"/>
    <col min="10491" max="10491" width="12.58203125" style="342" customWidth="1"/>
    <col min="10492" max="10492" width="15.25" style="342" customWidth="1"/>
    <col min="10493" max="10493" width="14.08203125" style="342" customWidth="1"/>
    <col min="10494" max="10494" width="17.75" style="342" customWidth="1"/>
    <col min="10495" max="10495" width="9" style="342" customWidth="1"/>
    <col min="10496" max="10496" width="4.5" style="342" customWidth="1"/>
    <col min="10497" max="10497" width="4.08203125" style="342" customWidth="1"/>
    <col min="10498" max="10500" width="10.33203125" style="342" customWidth="1"/>
    <col min="10501" max="10610" width="10.33203125" style="342"/>
    <col min="10611" max="10611" width="3.83203125" style="342" customWidth="1"/>
    <col min="10612" max="10612" width="18.58203125" style="342" customWidth="1"/>
    <col min="10613" max="10613" width="19.75" style="342" customWidth="1"/>
    <col min="10614" max="10614" width="8" style="342" customWidth="1"/>
    <col min="10615" max="10615" width="2.75" style="342" bestFit="1" customWidth="1"/>
    <col min="10616" max="10617" width="6.25" style="342" bestFit="1" customWidth="1"/>
    <col min="10618" max="10618" width="18.83203125" style="342" bestFit="1" customWidth="1"/>
    <col min="10619" max="10619" width="6.83203125" style="342" bestFit="1" customWidth="1"/>
    <col min="10620" max="10620" width="3.25" style="342" customWidth="1"/>
    <col min="10621" max="10621" width="7.5" style="342" customWidth="1"/>
    <col min="10622" max="10622" width="2.75" style="342" bestFit="1" customWidth="1"/>
    <col min="10623" max="10624" width="6.25" style="342" customWidth="1"/>
    <col min="10625" max="10625" width="4.5" style="342" bestFit="1" customWidth="1"/>
    <col min="10626" max="10626" width="11.25" style="342" customWidth="1"/>
    <col min="10627" max="10645" width="10.33203125" style="342" customWidth="1"/>
    <col min="10646" max="10646" width="27.08203125" style="342" customWidth="1"/>
    <col min="10647" max="10647" width="13.5" style="342" customWidth="1"/>
    <col min="10648" max="10648" width="12.58203125" style="342" customWidth="1"/>
    <col min="10649" max="10649" width="12.75" style="342" customWidth="1"/>
    <col min="10650" max="10650" width="14.08203125" style="342" customWidth="1"/>
    <col min="10651" max="10651" width="13.75" style="342" customWidth="1"/>
    <col min="10652" max="10652" width="9" style="342" customWidth="1"/>
    <col min="10653" max="10653" width="4.5" style="342" customWidth="1"/>
    <col min="10654" max="10656" width="10.33203125" style="342" customWidth="1"/>
    <col min="10657" max="10657" width="6.83203125" style="342" customWidth="1"/>
    <col min="10658" max="10677" width="10.33203125" style="342" customWidth="1"/>
    <col min="10678" max="10678" width="27.08203125" style="342" customWidth="1"/>
    <col min="10679" max="10679" width="13.5" style="342" customWidth="1"/>
    <col min="10680" max="10680" width="12.58203125" style="342" customWidth="1"/>
    <col min="10681" max="10681" width="12.75" style="342" customWidth="1"/>
    <col min="10682" max="10682" width="14.08203125" style="342" customWidth="1"/>
    <col min="10683" max="10683" width="13.75" style="342" customWidth="1"/>
    <col min="10684" max="10684" width="9" style="342" customWidth="1"/>
    <col min="10685" max="10685" width="4.5" style="342" customWidth="1"/>
    <col min="10686" max="10688" width="10.33203125" style="342" customWidth="1"/>
    <col min="10689" max="10689" width="6.25" style="342" customWidth="1"/>
    <col min="10690" max="10690" width="27.08203125" style="342" customWidth="1"/>
    <col min="10691" max="10691" width="13.5" style="342" customWidth="1"/>
    <col min="10692" max="10692" width="12.58203125" style="342" customWidth="1"/>
    <col min="10693" max="10693" width="17.08203125" style="342" customWidth="1"/>
    <col min="10694" max="10694" width="14.08203125" style="342" customWidth="1"/>
    <col min="10695" max="10695" width="13.75" style="342" customWidth="1"/>
    <col min="10696" max="10696" width="9" style="342" customWidth="1"/>
    <col min="10697" max="10698" width="4.5" style="342" customWidth="1"/>
    <col min="10699" max="10702" width="10.33203125" style="342" customWidth="1"/>
    <col min="10703" max="10703" width="27.08203125" style="342" customWidth="1"/>
    <col min="10704" max="10704" width="13.5" style="342" customWidth="1"/>
    <col min="10705" max="10705" width="12.58203125" style="342" customWidth="1"/>
    <col min="10706" max="10706" width="15.25" style="342" customWidth="1"/>
    <col min="10707" max="10707" width="14.08203125" style="342" customWidth="1"/>
    <col min="10708" max="10708" width="17.75" style="342" customWidth="1"/>
    <col min="10709" max="10709" width="9" style="342" customWidth="1"/>
    <col min="10710" max="10710" width="4.5" style="342" customWidth="1"/>
    <col min="10711" max="10711" width="4.33203125" style="342" customWidth="1"/>
    <col min="10712" max="10715" width="10.33203125" style="342" customWidth="1"/>
    <col min="10716" max="10716" width="27.08203125" style="342" customWidth="1"/>
    <col min="10717" max="10717" width="13.5" style="342" customWidth="1"/>
    <col min="10718" max="10718" width="12.58203125" style="342" customWidth="1"/>
    <col min="10719" max="10719" width="15.25" style="342" customWidth="1"/>
    <col min="10720" max="10720" width="14.08203125" style="342" customWidth="1"/>
    <col min="10721" max="10721" width="16.25" style="342" customWidth="1"/>
    <col min="10722" max="10722" width="9" style="342" customWidth="1"/>
    <col min="10723" max="10723" width="4.5" style="342" customWidth="1"/>
    <col min="10724" max="10724" width="4.08203125" style="342" customWidth="1"/>
    <col min="10725" max="10744" width="10.33203125" style="342" customWidth="1"/>
    <col min="10745" max="10745" width="27.08203125" style="342" bestFit="1" customWidth="1"/>
    <col min="10746" max="10746" width="13.5" style="342" customWidth="1"/>
    <col min="10747" max="10747" width="12.58203125" style="342" customWidth="1"/>
    <col min="10748" max="10748" width="15.25" style="342" customWidth="1"/>
    <col min="10749" max="10749" width="14.08203125" style="342" customWidth="1"/>
    <col min="10750" max="10750" width="17.75" style="342" customWidth="1"/>
    <col min="10751" max="10751" width="9" style="342" customWidth="1"/>
    <col min="10752" max="10752" width="4.5" style="342" customWidth="1"/>
    <col min="10753" max="10753" width="4.08203125" style="342" customWidth="1"/>
    <col min="10754" max="10756" width="10.33203125" style="342" customWidth="1"/>
    <col min="10757" max="10866" width="10.33203125" style="342"/>
    <col min="10867" max="10867" width="3.83203125" style="342" customWidth="1"/>
    <col min="10868" max="10868" width="18.58203125" style="342" customWidth="1"/>
    <col min="10869" max="10869" width="19.75" style="342" customWidth="1"/>
    <col min="10870" max="10870" width="8" style="342" customWidth="1"/>
    <col min="10871" max="10871" width="2.75" style="342" bestFit="1" customWidth="1"/>
    <col min="10872" max="10873" width="6.25" style="342" bestFit="1" customWidth="1"/>
    <col min="10874" max="10874" width="18.83203125" style="342" bestFit="1" customWidth="1"/>
    <col min="10875" max="10875" width="6.83203125" style="342" bestFit="1" customWidth="1"/>
    <col min="10876" max="10876" width="3.25" style="342" customWidth="1"/>
    <col min="10877" max="10877" width="7.5" style="342" customWidth="1"/>
    <col min="10878" max="10878" width="2.75" style="342" bestFit="1" customWidth="1"/>
    <col min="10879" max="10880" width="6.25" style="342" customWidth="1"/>
    <col min="10881" max="10881" width="4.5" style="342" bestFit="1" customWidth="1"/>
    <col min="10882" max="10882" width="11.25" style="342" customWidth="1"/>
    <col min="10883" max="10901" width="10.33203125" style="342" customWidth="1"/>
    <col min="10902" max="10902" width="27.08203125" style="342" customWidth="1"/>
    <col min="10903" max="10903" width="13.5" style="342" customWidth="1"/>
    <col min="10904" max="10904" width="12.58203125" style="342" customWidth="1"/>
    <col min="10905" max="10905" width="12.75" style="342" customWidth="1"/>
    <col min="10906" max="10906" width="14.08203125" style="342" customWidth="1"/>
    <col min="10907" max="10907" width="13.75" style="342" customWidth="1"/>
    <col min="10908" max="10908" width="9" style="342" customWidth="1"/>
    <col min="10909" max="10909" width="4.5" style="342" customWidth="1"/>
    <col min="10910" max="10912" width="10.33203125" style="342" customWidth="1"/>
    <col min="10913" max="10913" width="6.83203125" style="342" customWidth="1"/>
    <col min="10914" max="10933" width="10.33203125" style="342" customWidth="1"/>
    <col min="10934" max="10934" width="27.08203125" style="342" customWidth="1"/>
    <col min="10935" max="10935" width="13.5" style="342" customWidth="1"/>
    <col min="10936" max="10936" width="12.58203125" style="342" customWidth="1"/>
    <col min="10937" max="10937" width="12.75" style="342" customWidth="1"/>
    <col min="10938" max="10938" width="14.08203125" style="342" customWidth="1"/>
    <col min="10939" max="10939" width="13.75" style="342" customWidth="1"/>
    <col min="10940" max="10940" width="9" style="342" customWidth="1"/>
    <col min="10941" max="10941" width="4.5" style="342" customWidth="1"/>
    <col min="10942" max="10944" width="10.33203125" style="342" customWidth="1"/>
    <col min="10945" max="10945" width="6.25" style="342" customWidth="1"/>
    <col min="10946" max="10946" width="27.08203125" style="342" customWidth="1"/>
    <col min="10947" max="10947" width="13.5" style="342" customWidth="1"/>
    <col min="10948" max="10948" width="12.58203125" style="342" customWidth="1"/>
    <col min="10949" max="10949" width="17.08203125" style="342" customWidth="1"/>
    <col min="10950" max="10950" width="14.08203125" style="342" customWidth="1"/>
    <col min="10951" max="10951" width="13.75" style="342" customWidth="1"/>
    <col min="10952" max="10952" width="9" style="342" customWidth="1"/>
    <col min="10953" max="10954" width="4.5" style="342" customWidth="1"/>
    <col min="10955" max="10958" width="10.33203125" style="342" customWidth="1"/>
    <col min="10959" max="10959" width="27.08203125" style="342" customWidth="1"/>
    <col min="10960" max="10960" width="13.5" style="342" customWidth="1"/>
    <col min="10961" max="10961" width="12.58203125" style="342" customWidth="1"/>
    <col min="10962" max="10962" width="15.25" style="342" customWidth="1"/>
    <col min="10963" max="10963" width="14.08203125" style="342" customWidth="1"/>
    <col min="10964" max="10964" width="17.75" style="342" customWidth="1"/>
    <col min="10965" max="10965" width="9" style="342" customWidth="1"/>
    <col min="10966" max="10966" width="4.5" style="342" customWidth="1"/>
    <col min="10967" max="10967" width="4.33203125" style="342" customWidth="1"/>
    <col min="10968" max="10971" width="10.33203125" style="342" customWidth="1"/>
    <col min="10972" max="10972" width="27.08203125" style="342" customWidth="1"/>
    <col min="10973" max="10973" width="13.5" style="342" customWidth="1"/>
    <col min="10974" max="10974" width="12.58203125" style="342" customWidth="1"/>
    <col min="10975" max="10975" width="15.25" style="342" customWidth="1"/>
    <col min="10976" max="10976" width="14.08203125" style="342" customWidth="1"/>
    <col min="10977" max="10977" width="16.25" style="342" customWidth="1"/>
    <col min="10978" max="10978" width="9" style="342" customWidth="1"/>
    <col min="10979" max="10979" width="4.5" style="342" customWidth="1"/>
    <col min="10980" max="10980" width="4.08203125" style="342" customWidth="1"/>
    <col min="10981" max="11000" width="10.33203125" style="342" customWidth="1"/>
    <col min="11001" max="11001" width="27.08203125" style="342" bestFit="1" customWidth="1"/>
    <col min="11002" max="11002" width="13.5" style="342" customWidth="1"/>
    <col min="11003" max="11003" width="12.58203125" style="342" customWidth="1"/>
    <col min="11004" max="11004" width="15.25" style="342" customWidth="1"/>
    <col min="11005" max="11005" width="14.08203125" style="342" customWidth="1"/>
    <col min="11006" max="11006" width="17.75" style="342" customWidth="1"/>
    <col min="11007" max="11007" width="9" style="342" customWidth="1"/>
    <col min="11008" max="11008" width="4.5" style="342" customWidth="1"/>
    <col min="11009" max="11009" width="4.08203125" style="342" customWidth="1"/>
    <col min="11010" max="11012" width="10.33203125" style="342" customWidth="1"/>
    <col min="11013" max="11122" width="10.33203125" style="342"/>
    <col min="11123" max="11123" width="3.83203125" style="342" customWidth="1"/>
    <col min="11124" max="11124" width="18.58203125" style="342" customWidth="1"/>
    <col min="11125" max="11125" width="19.75" style="342" customWidth="1"/>
    <col min="11126" max="11126" width="8" style="342" customWidth="1"/>
    <col min="11127" max="11127" width="2.75" style="342" bestFit="1" customWidth="1"/>
    <col min="11128" max="11129" width="6.25" style="342" bestFit="1" customWidth="1"/>
    <col min="11130" max="11130" width="18.83203125" style="342" bestFit="1" customWidth="1"/>
    <col min="11131" max="11131" width="6.83203125" style="342" bestFit="1" customWidth="1"/>
    <col min="11132" max="11132" width="3.25" style="342" customWidth="1"/>
    <col min="11133" max="11133" width="7.5" style="342" customWidth="1"/>
    <col min="11134" max="11134" width="2.75" style="342" bestFit="1" customWidth="1"/>
    <col min="11135" max="11136" width="6.25" style="342" customWidth="1"/>
    <col min="11137" max="11137" width="4.5" style="342" bestFit="1" customWidth="1"/>
    <col min="11138" max="11138" width="11.25" style="342" customWidth="1"/>
    <col min="11139" max="11157" width="10.33203125" style="342" customWidth="1"/>
    <col min="11158" max="11158" width="27.08203125" style="342" customWidth="1"/>
    <col min="11159" max="11159" width="13.5" style="342" customWidth="1"/>
    <col min="11160" max="11160" width="12.58203125" style="342" customWidth="1"/>
    <col min="11161" max="11161" width="12.75" style="342" customWidth="1"/>
    <col min="11162" max="11162" width="14.08203125" style="342" customWidth="1"/>
    <col min="11163" max="11163" width="13.75" style="342" customWidth="1"/>
    <col min="11164" max="11164" width="9" style="342" customWidth="1"/>
    <col min="11165" max="11165" width="4.5" style="342" customWidth="1"/>
    <col min="11166" max="11168" width="10.33203125" style="342" customWidth="1"/>
    <col min="11169" max="11169" width="6.83203125" style="342" customWidth="1"/>
    <col min="11170" max="11189" width="10.33203125" style="342" customWidth="1"/>
    <col min="11190" max="11190" width="27.08203125" style="342" customWidth="1"/>
    <col min="11191" max="11191" width="13.5" style="342" customWidth="1"/>
    <col min="11192" max="11192" width="12.58203125" style="342" customWidth="1"/>
    <col min="11193" max="11193" width="12.75" style="342" customWidth="1"/>
    <col min="11194" max="11194" width="14.08203125" style="342" customWidth="1"/>
    <col min="11195" max="11195" width="13.75" style="342" customWidth="1"/>
    <col min="11196" max="11196" width="9" style="342" customWidth="1"/>
    <col min="11197" max="11197" width="4.5" style="342" customWidth="1"/>
    <col min="11198" max="11200" width="10.33203125" style="342" customWidth="1"/>
    <col min="11201" max="11201" width="6.25" style="342" customWidth="1"/>
    <col min="11202" max="11202" width="27.08203125" style="342" customWidth="1"/>
    <col min="11203" max="11203" width="13.5" style="342" customWidth="1"/>
    <col min="11204" max="11204" width="12.58203125" style="342" customWidth="1"/>
    <col min="11205" max="11205" width="17.08203125" style="342" customWidth="1"/>
    <col min="11206" max="11206" width="14.08203125" style="342" customWidth="1"/>
    <col min="11207" max="11207" width="13.75" style="342" customWidth="1"/>
    <col min="11208" max="11208" width="9" style="342" customWidth="1"/>
    <col min="11209" max="11210" width="4.5" style="342" customWidth="1"/>
    <col min="11211" max="11214" width="10.33203125" style="342" customWidth="1"/>
    <col min="11215" max="11215" width="27.08203125" style="342" customWidth="1"/>
    <col min="11216" max="11216" width="13.5" style="342" customWidth="1"/>
    <col min="11217" max="11217" width="12.58203125" style="342" customWidth="1"/>
    <col min="11218" max="11218" width="15.25" style="342" customWidth="1"/>
    <col min="11219" max="11219" width="14.08203125" style="342" customWidth="1"/>
    <col min="11220" max="11220" width="17.75" style="342" customWidth="1"/>
    <col min="11221" max="11221" width="9" style="342" customWidth="1"/>
    <col min="11222" max="11222" width="4.5" style="342" customWidth="1"/>
    <col min="11223" max="11223" width="4.33203125" style="342" customWidth="1"/>
    <col min="11224" max="11227" width="10.33203125" style="342" customWidth="1"/>
    <col min="11228" max="11228" width="27.08203125" style="342" customWidth="1"/>
    <col min="11229" max="11229" width="13.5" style="342" customWidth="1"/>
    <col min="11230" max="11230" width="12.58203125" style="342" customWidth="1"/>
    <col min="11231" max="11231" width="15.25" style="342" customWidth="1"/>
    <col min="11232" max="11232" width="14.08203125" style="342" customWidth="1"/>
    <col min="11233" max="11233" width="16.25" style="342" customWidth="1"/>
    <col min="11234" max="11234" width="9" style="342" customWidth="1"/>
    <col min="11235" max="11235" width="4.5" style="342" customWidth="1"/>
    <col min="11236" max="11236" width="4.08203125" style="342" customWidth="1"/>
    <col min="11237" max="11256" width="10.33203125" style="342" customWidth="1"/>
    <col min="11257" max="11257" width="27.08203125" style="342" bestFit="1" customWidth="1"/>
    <col min="11258" max="11258" width="13.5" style="342" customWidth="1"/>
    <col min="11259" max="11259" width="12.58203125" style="342" customWidth="1"/>
    <col min="11260" max="11260" width="15.25" style="342" customWidth="1"/>
    <col min="11261" max="11261" width="14.08203125" style="342" customWidth="1"/>
    <col min="11262" max="11262" width="17.75" style="342" customWidth="1"/>
    <col min="11263" max="11263" width="9" style="342" customWidth="1"/>
    <col min="11264" max="11264" width="4.5" style="342" customWidth="1"/>
    <col min="11265" max="11265" width="4.08203125" style="342" customWidth="1"/>
    <col min="11266" max="11268" width="10.33203125" style="342" customWidth="1"/>
    <col min="11269" max="11378" width="10.33203125" style="342"/>
    <col min="11379" max="11379" width="3.83203125" style="342" customWidth="1"/>
    <col min="11380" max="11380" width="18.58203125" style="342" customWidth="1"/>
    <col min="11381" max="11381" width="19.75" style="342" customWidth="1"/>
    <col min="11382" max="11382" width="8" style="342" customWidth="1"/>
    <col min="11383" max="11383" width="2.75" style="342" bestFit="1" customWidth="1"/>
    <col min="11384" max="11385" width="6.25" style="342" bestFit="1" customWidth="1"/>
    <col min="11386" max="11386" width="18.83203125" style="342" bestFit="1" customWidth="1"/>
    <col min="11387" max="11387" width="6.83203125" style="342" bestFit="1" customWidth="1"/>
    <col min="11388" max="11388" width="3.25" style="342" customWidth="1"/>
    <col min="11389" max="11389" width="7.5" style="342" customWidth="1"/>
    <col min="11390" max="11390" width="2.75" style="342" bestFit="1" customWidth="1"/>
    <col min="11391" max="11392" width="6.25" style="342" customWidth="1"/>
    <col min="11393" max="11393" width="4.5" style="342" bestFit="1" customWidth="1"/>
    <col min="11394" max="11394" width="11.25" style="342" customWidth="1"/>
    <col min="11395" max="11413" width="10.33203125" style="342" customWidth="1"/>
    <col min="11414" max="11414" width="27.08203125" style="342" customWidth="1"/>
    <col min="11415" max="11415" width="13.5" style="342" customWidth="1"/>
    <col min="11416" max="11416" width="12.58203125" style="342" customWidth="1"/>
    <col min="11417" max="11417" width="12.75" style="342" customWidth="1"/>
    <col min="11418" max="11418" width="14.08203125" style="342" customWidth="1"/>
    <col min="11419" max="11419" width="13.75" style="342" customWidth="1"/>
    <col min="11420" max="11420" width="9" style="342" customWidth="1"/>
    <col min="11421" max="11421" width="4.5" style="342" customWidth="1"/>
    <col min="11422" max="11424" width="10.33203125" style="342" customWidth="1"/>
    <col min="11425" max="11425" width="6.83203125" style="342" customWidth="1"/>
    <col min="11426" max="11445" width="10.33203125" style="342" customWidth="1"/>
    <col min="11446" max="11446" width="27.08203125" style="342" customWidth="1"/>
    <col min="11447" max="11447" width="13.5" style="342" customWidth="1"/>
    <col min="11448" max="11448" width="12.58203125" style="342" customWidth="1"/>
    <col min="11449" max="11449" width="12.75" style="342" customWidth="1"/>
    <col min="11450" max="11450" width="14.08203125" style="342" customWidth="1"/>
    <col min="11451" max="11451" width="13.75" style="342" customWidth="1"/>
    <col min="11452" max="11452" width="9" style="342" customWidth="1"/>
    <col min="11453" max="11453" width="4.5" style="342" customWidth="1"/>
    <col min="11454" max="11456" width="10.33203125" style="342" customWidth="1"/>
    <col min="11457" max="11457" width="6.25" style="342" customWidth="1"/>
    <col min="11458" max="11458" width="27.08203125" style="342" customWidth="1"/>
    <col min="11459" max="11459" width="13.5" style="342" customWidth="1"/>
    <col min="11460" max="11460" width="12.58203125" style="342" customWidth="1"/>
    <col min="11461" max="11461" width="17.08203125" style="342" customWidth="1"/>
    <col min="11462" max="11462" width="14.08203125" style="342" customWidth="1"/>
    <col min="11463" max="11463" width="13.75" style="342" customWidth="1"/>
    <col min="11464" max="11464" width="9" style="342" customWidth="1"/>
    <col min="11465" max="11466" width="4.5" style="342" customWidth="1"/>
    <col min="11467" max="11470" width="10.33203125" style="342" customWidth="1"/>
    <col min="11471" max="11471" width="27.08203125" style="342" customWidth="1"/>
    <col min="11472" max="11472" width="13.5" style="342" customWidth="1"/>
    <col min="11473" max="11473" width="12.58203125" style="342" customWidth="1"/>
    <col min="11474" max="11474" width="15.25" style="342" customWidth="1"/>
    <col min="11475" max="11475" width="14.08203125" style="342" customWidth="1"/>
    <col min="11476" max="11476" width="17.75" style="342" customWidth="1"/>
    <col min="11477" max="11477" width="9" style="342" customWidth="1"/>
    <col min="11478" max="11478" width="4.5" style="342" customWidth="1"/>
    <col min="11479" max="11479" width="4.33203125" style="342" customWidth="1"/>
    <col min="11480" max="11483" width="10.33203125" style="342" customWidth="1"/>
    <col min="11484" max="11484" width="27.08203125" style="342" customWidth="1"/>
    <col min="11485" max="11485" width="13.5" style="342" customWidth="1"/>
    <col min="11486" max="11486" width="12.58203125" style="342" customWidth="1"/>
    <col min="11487" max="11487" width="15.25" style="342" customWidth="1"/>
    <col min="11488" max="11488" width="14.08203125" style="342" customWidth="1"/>
    <col min="11489" max="11489" width="16.25" style="342" customWidth="1"/>
    <col min="11490" max="11490" width="9" style="342" customWidth="1"/>
    <col min="11491" max="11491" width="4.5" style="342" customWidth="1"/>
    <col min="11492" max="11492" width="4.08203125" style="342" customWidth="1"/>
    <col min="11493" max="11512" width="10.33203125" style="342" customWidth="1"/>
    <col min="11513" max="11513" width="27.08203125" style="342" bestFit="1" customWidth="1"/>
    <col min="11514" max="11514" width="13.5" style="342" customWidth="1"/>
    <col min="11515" max="11515" width="12.58203125" style="342" customWidth="1"/>
    <col min="11516" max="11516" width="15.25" style="342" customWidth="1"/>
    <col min="11517" max="11517" width="14.08203125" style="342" customWidth="1"/>
    <col min="11518" max="11518" width="17.75" style="342" customWidth="1"/>
    <col min="11519" max="11519" width="9" style="342" customWidth="1"/>
    <col min="11520" max="11520" width="4.5" style="342" customWidth="1"/>
    <col min="11521" max="11521" width="4.08203125" style="342" customWidth="1"/>
    <col min="11522" max="11524" width="10.33203125" style="342" customWidth="1"/>
    <col min="11525" max="11634" width="10.33203125" style="342"/>
    <col min="11635" max="11635" width="3.83203125" style="342" customWidth="1"/>
    <col min="11636" max="11636" width="18.58203125" style="342" customWidth="1"/>
    <col min="11637" max="11637" width="19.75" style="342" customWidth="1"/>
    <col min="11638" max="11638" width="8" style="342" customWidth="1"/>
    <col min="11639" max="11639" width="2.75" style="342" bestFit="1" customWidth="1"/>
    <col min="11640" max="11641" width="6.25" style="342" bestFit="1" customWidth="1"/>
    <col min="11642" max="11642" width="18.83203125" style="342" bestFit="1" customWidth="1"/>
    <col min="11643" max="11643" width="6.83203125" style="342" bestFit="1" customWidth="1"/>
    <col min="11644" max="11644" width="3.25" style="342" customWidth="1"/>
    <col min="11645" max="11645" width="7.5" style="342" customWidth="1"/>
    <col min="11646" max="11646" width="2.75" style="342" bestFit="1" customWidth="1"/>
    <col min="11647" max="11648" width="6.25" style="342" customWidth="1"/>
    <col min="11649" max="11649" width="4.5" style="342" bestFit="1" customWidth="1"/>
    <col min="11650" max="11650" width="11.25" style="342" customWidth="1"/>
    <col min="11651" max="11669" width="10.33203125" style="342" customWidth="1"/>
    <col min="11670" max="11670" width="27.08203125" style="342" customWidth="1"/>
    <col min="11671" max="11671" width="13.5" style="342" customWidth="1"/>
    <col min="11672" max="11672" width="12.58203125" style="342" customWidth="1"/>
    <col min="11673" max="11673" width="12.75" style="342" customWidth="1"/>
    <col min="11674" max="11674" width="14.08203125" style="342" customWidth="1"/>
    <col min="11675" max="11675" width="13.75" style="342" customWidth="1"/>
    <col min="11676" max="11676" width="9" style="342" customWidth="1"/>
    <col min="11677" max="11677" width="4.5" style="342" customWidth="1"/>
    <col min="11678" max="11680" width="10.33203125" style="342" customWidth="1"/>
    <col min="11681" max="11681" width="6.83203125" style="342" customWidth="1"/>
    <col min="11682" max="11701" width="10.33203125" style="342" customWidth="1"/>
    <col min="11702" max="11702" width="27.08203125" style="342" customWidth="1"/>
    <col min="11703" max="11703" width="13.5" style="342" customWidth="1"/>
    <col min="11704" max="11704" width="12.58203125" style="342" customWidth="1"/>
    <col min="11705" max="11705" width="12.75" style="342" customWidth="1"/>
    <col min="11706" max="11706" width="14.08203125" style="342" customWidth="1"/>
    <col min="11707" max="11707" width="13.75" style="342" customWidth="1"/>
    <col min="11708" max="11708" width="9" style="342" customWidth="1"/>
    <col min="11709" max="11709" width="4.5" style="342" customWidth="1"/>
    <col min="11710" max="11712" width="10.33203125" style="342" customWidth="1"/>
    <col min="11713" max="11713" width="6.25" style="342" customWidth="1"/>
    <col min="11714" max="11714" width="27.08203125" style="342" customWidth="1"/>
    <col min="11715" max="11715" width="13.5" style="342" customWidth="1"/>
    <col min="11716" max="11716" width="12.58203125" style="342" customWidth="1"/>
    <col min="11717" max="11717" width="17.08203125" style="342" customWidth="1"/>
    <col min="11718" max="11718" width="14.08203125" style="342" customWidth="1"/>
    <col min="11719" max="11719" width="13.75" style="342" customWidth="1"/>
    <col min="11720" max="11720" width="9" style="342" customWidth="1"/>
    <col min="11721" max="11722" width="4.5" style="342" customWidth="1"/>
    <col min="11723" max="11726" width="10.33203125" style="342" customWidth="1"/>
    <col min="11727" max="11727" width="27.08203125" style="342" customWidth="1"/>
    <col min="11728" max="11728" width="13.5" style="342" customWidth="1"/>
    <col min="11729" max="11729" width="12.58203125" style="342" customWidth="1"/>
    <col min="11730" max="11730" width="15.25" style="342" customWidth="1"/>
    <col min="11731" max="11731" width="14.08203125" style="342" customWidth="1"/>
    <col min="11732" max="11732" width="17.75" style="342" customWidth="1"/>
    <col min="11733" max="11733" width="9" style="342" customWidth="1"/>
    <col min="11734" max="11734" width="4.5" style="342" customWidth="1"/>
    <col min="11735" max="11735" width="4.33203125" style="342" customWidth="1"/>
    <col min="11736" max="11739" width="10.33203125" style="342" customWidth="1"/>
    <col min="11740" max="11740" width="27.08203125" style="342" customWidth="1"/>
    <col min="11741" max="11741" width="13.5" style="342" customWidth="1"/>
    <col min="11742" max="11742" width="12.58203125" style="342" customWidth="1"/>
    <col min="11743" max="11743" width="15.25" style="342" customWidth="1"/>
    <col min="11744" max="11744" width="14.08203125" style="342" customWidth="1"/>
    <col min="11745" max="11745" width="16.25" style="342" customWidth="1"/>
    <col min="11746" max="11746" width="9" style="342" customWidth="1"/>
    <col min="11747" max="11747" width="4.5" style="342" customWidth="1"/>
    <col min="11748" max="11748" width="4.08203125" style="342" customWidth="1"/>
    <col min="11749" max="11768" width="10.33203125" style="342" customWidth="1"/>
    <col min="11769" max="11769" width="27.08203125" style="342" bestFit="1" customWidth="1"/>
    <col min="11770" max="11770" width="13.5" style="342" customWidth="1"/>
    <col min="11771" max="11771" width="12.58203125" style="342" customWidth="1"/>
    <col min="11772" max="11772" width="15.25" style="342" customWidth="1"/>
    <col min="11773" max="11773" width="14.08203125" style="342" customWidth="1"/>
    <col min="11774" max="11774" width="17.75" style="342" customWidth="1"/>
    <col min="11775" max="11775" width="9" style="342" customWidth="1"/>
    <col min="11776" max="11776" width="4.5" style="342" customWidth="1"/>
    <col min="11777" max="11777" width="4.08203125" style="342" customWidth="1"/>
    <col min="11778" max="11780" width="10.33203125" style="342" customWidth="1"/>
    <col min="11781" max="11890" width="10.33203125" style="342"/>
    <col min="11891" max="11891" width="3.83203125" style="342" customWidth="1"/>
    <col min="11892" max="11892" width="18.58203125" style="342" customWidth="1"/>
    <col min="11893" max="11893" width="19.75" style="342" customWidth="1"/>
    <col min="11894" max="11894" width="8" style="342" customWidth="1"/>
    <col min="11895" max="11895" width="2.75" style="342" bestFit="1" customWidth="1"/>
    <col min="11896" max="11897" width="6.25" style="342" bestFit="1" customWidth="1"/>
    <col min="11898" max="11898" width="18.83203125" style="342" bestFit="1" customWidth="1"/>
    <col min="11899" max="11899" width="6.83203125" style="342" bestFit="1" customWidth="1"/>
    <col min="11900" max="11900" width="3.25" style="342" customWidth="1"/>
    <col min="11901" max="11901" width="7.5" style="342" customWidth="1"/>
    <col min="11902" max="11902" width="2.75" style="342" bestFit="1" customWidth="1"/>
    <col min="11903" max="11904" width="6.25" style="342" customWidth="1"/>
    <col min="11905" max="11905" width="4.5" style="342" bestFit="1" customWidth="1"/>
    <col min="11906" max="11906" width="11.25" style="342" customWidth="1"/>
    <col min="11907" max="11925" width="10.33203125" style="342" customWidth="1"/>
    <col min="11926" max="11926" width="27.08203125" style="342" customWidth="1"/>
    <col min="11927" max="11927" width="13.5" style="342" customWidth="1"/>
    <col min="11928" max="11928" width="12.58203125" style="342" customWidth="1"/>
    <col min="11929" max="11929" width="12.75" style="342" customWidth="1"/>
    <col min="11930" max="11930" width="14.08203125" style="342" customWidth="1"/>
    <col min="11931" max="11931" width="13.75" style="342" customWidth="1"/>
    <col min="11932" max="11932" width="9" style="342" customWidth="1"/>
    <col min="11933" max="11933" width="4.5" style="342" customWidth="1"/>
    <col min="11934" max="11936" width="10.33203125" style="342" customWidth="1"/>
    <col min="11937" max="11937" width="6.83203125" style="342" customWidth="1"/>
    <col min="11938" max="11957" width="10.33203125" style="342" customWidth="1"/>
    <col min="11958" max="11958" width="27.08203125" style="342" customWidth="1"/>
    <col min="11959" max="11959" width="13.5" style="342" customWidth="1"/>
    <col min="11960" max="11960" width="12.58203125" style="342" customWidth="1"/>
    <col min="11961" max="11961" width="12.75" style="342" customWidth="1"/>
    <col min="11962" max="11962" width="14.08203125" style="342" customWidth="1"/>
    <col min="11963" max="11963" width="13.75" style="342" customWidth="1"/>
    <col min="11964" max="11964" width="9" style="342" customWidth="1"/>
    <col min="11965" max="11965" width="4.5" style="342" customWidth="1"/>
    <col min="11966" max="11968" width="10.33203125" style="342" customWidth="1"/>
    <col min="11969" max="11969" width="6.25" style="342" customWidth="1"/>
    <col min="11970" max="11970" width="27.08203125" style="342" customWidth="1"/>
    <col min="11971" max="11971" width="13.5" style="342" customWidth="1"/>
    <col min="11972" max="11972" width="12.58203125" style="342" customWidth="1"/>
    <col min="11973" max="11973" width="17.08203125" style="342" customWidth="1"/>
    <col min="11974" max="11974" width="14.08203125" style="342" customWidth="1"/>
    <col min="11975" max="11975" width="13.75" style="342" customWidth="1"/>
    <col min="11976" max="11976" width="9" style="342" customWidth="1"/>
    <col min="11977" max="11978" width="4.5" style="342" customWidth="1"/>
    <col min="11979" max="11982" width="10.33203125" style="342" customWidth="1"/>
    <col min="11983" max="11983" width="27.08203125" style="342" customWidth="1"/>
    <col min="11984" max="11984" width="13.5" style="342" customWidth="1"/>
    <col min="11985" max="11985" width="12.58203125" style="342" customWidth="1"/>
    <col min="11986" max="11986" width="15.25" style="342" customWidth="1"/>
    <col min="11987" max="11987" width="14.08203125" style="342" customWidth="1"/>
    <col min="11988" max="11988" width="17.75" style="342" customWidth="1"/>
    <col min="11989" max="11989" width="9" style="342" customWidth="1"/>
    <col min="11990" max="11990" width="4.5" style="342" customWidth="1"/>
    <col min="11991" max="11991" width="4.33203125" style="342" customWidth="1"/>
    <col min="11992" max="11995" width="10.33203125" style="342" customWidth="1"/>
    <col min="11996" max="11996" width="27.08203125" style="342" customWidth="1"/>
    <col min="11997" max="11997" width="13.5" style="342" customWidth="1"/>
    <col min="11998" max="11998" width="12.58203125" style="342" customWidth="1"/>
    <col min="11999" max="11999" width="15.25" style="342" customWidth="1"/>
    <col min="12000" max="12000" width="14.08203125" style="342" customWidth="1"/>
    <col min="12001" max="12001" width="16.25" style="342" customWidth="1"/>
    <col min="12002" max="12002" width="9" style="342" customWidth="1"/>
    <col min="12003" max="12003" width="4.5" style="342" customWidth="1"/>
    <col min="12004" max="12004" width="4.08203125" style="342" customWidth="1"/>
    <col min="12005" max="12024" width="10.33203125" style="342" customWidth="1"/>
    <col min="12025" max="12025" width="27.08203125" style="342" bestFit="1" customWidth="1"/>
    <col min="12026" max="12026" width="13.5" style="342" customWidth="1"/>
    <col min="12027" max="12027" width="12.58203125" style="342" customWidth="1"/>
    <col min="12028" max="12028" width="15.25" style="342" customWidth="1"/>
    <col min="12029" max="12029" width="14.08203125" style="342" customWidth="1"/>
    <col min="12030" max="12030" width="17.75" style="342" customWidth="1"/>
    <col min="12031" max="12031" width="9" style="342" customWidth="1"/>
    <col min="12032" max="12032" width="4.5" style="342" customWidth="1"/>
    <col min="12033" max="12033" width="4.08203125" style="342" customWidth="1"/>
    <col min="12034" max="12036" width="10.33203125" style="342" customWidth="1"/>
    <col min="12037" max="12146" width="10.33203125" style="342"/>
    <col min="12147" max="12147" width="3.83203125" style="342" customWidth="1"/>
    <col min="12148" max="12148" width="18.58203125" style="342" customWidth="1"/>
    <col min="12149" max="12149" width="19.75" style="342" customWidth="1"/>
    <col min="12150" max="12150" width="8" style="342" customWidth="1"/>
    <col min="12151" max="12151" width="2.75" style="342" bestFit="1" customWidth="1"/>
    <col min="12152" max="12153" width="6.25" style="342" bestFit="1" customWidth="1"/>
    <col min="12154" max="12154" width="18.83203125" style="342" bestFit="1" customWidth="1"/>
    <col min="12155" max="12155" width="6.83203125" style="342" bestFit="1" customWidth="1"/>
    <col min="12156" max="12156" width="3.25" style="342" customWidth="1"/>
    <col min="12157" max="12157" width="7.5" style="342" customWidth="1"/>
    <col min="12158" max="12158" width="2.75" style="342" bestFit="1" customWidth="1"/>
    <col min="12159" max="12160" width="6.25" style="342" customWidth="1"/>
    <col min="12161" max="12161" width="4.5" style="342" bestFit="1" customWidth="1"/>
    <col min="12162" max="12162" width="11.25" style="342" customWidth="1"/>
    <col min="12163" max="12181" width="10.33203125" style="342" customWidth="1"/>
    <col min="12182" max="12182" width="27.08203125" style="342" customWidth="1"/>
    <col min="12183" max="12183" width="13.5" style="342" customWidth="1"/>
    <col min="12184" max="12184" width="12.58203125" style="342" customWidth="1"/>
    <col min="12185" max="12185" width="12.75" style="342" customWidth="1"/>
    <col min="12186" max="12186" width="14.08203125" style="342" customWidth="1"/>
    <col min="12187" max="12187" width="13.75" style="342" customWidth="1"/>
    <col min="12188" max="12188" width="9" style="342" customWidth="1"/>
    <col min="12189" max="12189" width="4.5" style="342" customWidth="1"/>
    <col min="12190" max="12192" width="10.33203125" style="342" customWidth="1"/>
    <col min="12193" max="12193" width="6.83203125" style="342" customWidth="1"/>
    <col min="12194" max="12213" width="10.33203125" style="342" customWidth="1"/>
    <col min="12214" max="12214" width="27.08203125" style="342" customWidth="1"/>
    <col min="12215" max="12215" width="13.5" style="342" customWidth="1"/>
    <col min="12216" max="12216" width="12.58203125" style="342" customWidth="1"/>
    <col min="12217" max="12217" width="12.75" style="342" customWidth="1"/>
    <col min="12218" max="12218" width="14.08203125" style="342" customWidth="1"/>
    <col min="12219" max="12219" width="13.75" style="342" customWidth="1"/>
    <col min="12220" max="12220" width="9" style="342" customWidth="1"/>
    <col min="12221" max="12221" width="4.5" style="342" customWidth="1"/>
    <col min="12222" max="12224" width="10.33203125" style="342" customWidth="1"/>
    <col min="12225" max="12225" width="6.25" style="342" customWidth="1"/>
    <col min="12226" max="12226" width="27.08203125" style="342" customWidth="1"/>
    <col min="12227" max="12227" width="13.5" style="342" customWidth="1"/>
    <col min="12228" max="12228" width="12.58203125" style="342" customWidth="1"/>
    <col min="12229" max="12229" width="17.08203125" style="342" customWidth="1"/>
    <col min="12230" max="12230" width="14.08203125" style="342" customWidth="1"/>
    <col min="12231" max="12231" width="13.75" style="342" customWidth="1"/>
    <col min="12232" max="12232" width="9" style="342" customWidth="1"/>
    <col min="12233" max="12234" width="4.5" style="342" customWidth="1"/>
    <col min="12235" max="12238" width="10.33203125" style="342" customWidth="1"/>
    <col min="12239" max="12239" width="27.08203125" style="342" customWidth="1"/>
    <col min="12240" max="12240" width="13.5" style="342" customWidth="1"/>
    <col min="12241" max="12241" width="12.58203125" style="342" customWidth="1"/>
    <col min="12242" max="12242" width="15.25" style="342" customWidth="1"/>
    <col min="12243" max="12243" width="14.08203125" style="342" customWidth="1"/>
    <col min="12244" max="12244" width="17.75" style="342" customWidth="1"/>
    <col min="12245" max="12245" width="9" style="342" customWidth="1"/>
    <col min="12246" max="12246" width="4.5" style="342" customWidth="1"/>
    <col min="12247" max="12247" width="4.33203125" style="342" customWidth="1"/>
    <col min="12248" max="12251" width="10.33203125" style="342" customWidth="1"/>
    <col min="12252" max="12252" width="27.08203125" style="342" customWidth="1"/>
    <col min="12253" max="12253" width="13.5" style="342" customWidth="1"/>
    <col min="12254" max="12254" width="12.58203125" style="342" customWidth="1"/>
    <col min="12255" max="12255" width="15.25" style="342" customWidth="1"/>
    <col min="12256" max="12256" width="14.08203125" style="342" customWidth="1"/>
    <col min="12257" max="12257" width="16.25" style="342" customWidth="1"/>
    <col min="12258" max="12258" width="9" style="342" customWidth="1"/>
    <col min="12259" max="12259" width="4.5" style="342" customWidth="1"/>
    <col min="12260" max="12260" width="4.08203125" style="342" customWidth="1"/>
    <col min="12261" max="12280" width="10.33203125" style="342" customWidth="1"/>
    <col min="12281" max="12281" width="27.08203125" style="342" bestFit="1" customWidth="1"/>
    <col min="12282" max="12282" width="13.5" style="342" customWidth="1"/>
    <col min="12283" max="12283" width="12.58203125" style="342" customWidth="1"/>
    <col min="12284" max="12284" width="15.25" style="342" customWidth="1"/>
    <col min="12285" max="12285" width="14.08203125" style="342" customWidth="1"/>
    <col min="12286" max="12286" width="17.75" style="342" customWidth="1"/>
    <col min="12287" max="12287" width="9" style="342" customWidth="1"/>
    <col min="12288" max="12288" width="4.5" style="342" customWidth="1"/>
    <col min="12289" max="12289" width="4.08203125" style="342" customWidth="1"/>
    <col min="12290" max="12292" width="10.33203125" style="342" customWidth="1"/>
    <col min="12293" max="12402" width="10.33203125" style="342"/>
    <col min="12403" max="12403" width="3.83203125" style="342" customWidth="1"/>
    <col min="12404" max="12404" width="18.58203125" style="342" customWidth="1"/>
    <col min="12405" max="12405" width="19.75" style="342" customWidth="1"/>
    <col min="12406" max="12406" width="8" style="342" customWidth="1"/>
    <col min="12407" max="12407" width="2.75" style="342" bestFit="1" customWidth="1"/>
    <col min="12408" max="12409" width="6.25" style="342" bestFit="1" customWidth="1"/>
    <col min="12410" max="12410" width="18.83203125" style="342" bestFit="1" customWidth="1"/>
    <col min="12411" max="12411" width="6.83203125" style="342" bestFit="1" customWidth="1"/>
    <col min="12412" max="12412" width="3.25" style="342" customWidth="1"/>
    <col min="12413" max="12413" width="7.5" style="342" customWidth="1"/>
    <col min="12414" max="12414" width="2.75" style="342" bestFit="1" customWidth="1"/>
    <col min="12415" max="12416" width="6.25" style="342" customWidth="1"/>
    <col min="12417" max="12417" width="4.5" style="342" bestFit="1" customWidth="1"/>
    <col min="12418" max="12418" width="11.25" style="342" customWidth="1"/>
    <col min="12419" max="12437" width="10.33203125" style="342" customWidth="1"/>
    <col min="12438" max="12438" width="27.08203125" style="342" customWidth="1"/>
    <col min="12439" max="12439" width="13.5" style="342" customWidth="1"/>
    <col min="12440" max="12440" width="12.58203125" style="342" customWidth="1"/>
    <col min="12441" max="12441" width="12.75" style="342" customWidth="1"/>
    <col min="12442" max="12442" width="14.08203125" style="342" customWidth="1"/>
    <col min="12443" max="12443" width="13.75" style="342" customWidth="1"/>
    <col min="12444" max="12444" width="9" style="342" customWidth="1"/>
    <col min="12445" max="12445" width="4.5" style="342" customWidth="1"/>
    <col min="12446" max="12448" width="10.33203125" style="342" customWidth="1"/>
    <col min="12449" max="12449" width="6.83203125" style="342" customWidth="1"/>
    <col min="12450" max="12469" width="10.33203125" style="342" customWidth="1"/>
    <col min="12470" max="12470" width="27.08203125" style="342" customWidth="1"/>
    <col min="12471" max="12471" width="13.5" style="342" customWidth="1"/>
    <col min="12472" max="12472" width="12.58203125" style="342" customWidth="1"/>
    <col min="12473" max="12473" width="12.75" style="342" customWidth="1"/>
    <col min="12474" max="12474" width="14.08203125" style="342" customWidth="1"/>
    <col min="12475" max="12475" width="13.75" style="342" customWidth="1"/>
    <col min="12476" max="12476" width="9" style="342" customWidth="1"/>
    <col min="12477" max="12477" width="4.5" style="342" customWidth="1"/>
    <col min="12478" max="12480" width="10.33203125" style="342" customWidth="1"/>
    <col min="12481" max="12481" width="6.25" style="342" customWidth="1"/>
    <col min="12482" max="12482" width="27.08203125" style="342" customWidth="1"/>
    <col min="12483" max="12483" width="13.5" style="342" customWidth="1"/>
    <col min="12484" max="12484" width="12.58203125" style="342" customWidth="1"/>
    <col min="12485" max="12485" width="17.08203125" style="342" customWidth="1"/>
    <col min="12486" max="12486" width="14.08203125" style="342" customWidth="1"/>
    <col min="12487" max="12487" width="13.75" style="342" customWidth="1"/>
    <col min="12488" max="12488" width="9" style="342" customWidth="1"/>
    <col min="12489" max="12490" width="4.5" style="342" customWidth="1"/>
    <col min="12491" max="12494" width="10.33203125" style="342" customWidth="1"/>
    <col min="12495" max="12495" width="27.08203125" style="342" customWidth="1"/>
    <col min="12496" max="12496" width="13.5" style="342" customWidth="1"/>
    <col min="12497" max="12497" width="12.58203125" style="342" customWidth="1"/>
    <col min="12498" max="12498" width="15.25" style="342" customWidth="1"/>
    <col min="12499" max="12499" width="14.08203125" style="342" customWidth="1"/>
    <col min="12500" max="12500" width="17.75" style="342" customWidth="1"/>
    <col min="12501" max="12501" width="9" style="342" customWidth="1"/>
    <col min="12502" max="12502" width="4.5" style="342" customWidth="1"/>
    <col min="12503" max="12503" width="4.33203125" style="342" customWidth="1"/>
    <col min="12504" max="12507" width="10.33203125" style="342" customWidth="1"/>
    <col min="12508" max="12508" width="27.08203125" style="342" customWidth="1"/>
    <col min="12509" max="12509" width="13.5" style="342" customWidth="1"/>
    <col min="12510" max="12510" width="12.58203125" style="342" customWidth="1"/>
    <col min="12511" max="12511" width="15.25" style="342" customWidth="1"/>
    <col min="12512" max="12512" width="14.08203125" style="342" customWidth="1"/>
    <col min="12513" max="12513" width="16.25" style="342" customWidth="1"/>
    <col min="12514" max="12514" width="9" style="342" customWidth="1"/>
    <col min="12515" max="12515" width="4.5" style="342" customWidth="1"/>
    <col min="12516" max="12516" width="4.08203125" style="342" customWidth="1"/>
    <col min="12517" max="12536" width="10.33203125" style="342" customWidth="1"/>
    <col min="12537" max="12537" width="27.08203125" style="342" bestFit="1" customWidth="1"/>
    <col min="12538" max="12538" width="13.5" style="342" customWidth="1"/>
    <col min="12539" max="12539" width="12.58203125" style="342" customWidth="1"/>
    <col min="12540" max="12540" width="15.25" style="342" customWidth="1"/>
    <col min="12541" max="12541" width="14.08203125" style="342" customWidth="1"/>
    <col min="12542" max="12542" width="17.75" style="342" customWidth="1"/>
    <col min="12543" max="12543" width="9" style="342" customWidth="1"/>
    <col min="12544" max="12544" width="4.5" style="342" customWidth="1"/>
    <col min="12545" max="12545" width="4.08203125" style="342" customWidth="1"/>
    <col min="12546" max="12548" width="10.33203125" style="342" customWidth="1"/>
    <col min="12549" max="12658" width="10.33203125" style="342"/>
    <col min="12659" max="12659" width="3.83203125" style="342" customWidth="1"/>
    <col min="12660" max="12660" width="18.58203125" style="342" customWidth="1"/>
    <col min="12661" max="12661" width="19.75" style="342" customWidth="1"/>
    <col min="12662" max="12662" width="8" style="342" customWidth="1"/>
    <col min="12663" max="12663" width="2.75" style="342" bestFit="1" customWidth="1"/>
    <col min="12664" max="12665" width="6.25" style="342" bestFit="1" customWidth="1"/>
    <col min="12666" max="12666" width="18.83203125" style="342" bestFit="1" customWidth="1"/>
    <col min="12667" max="12667" width="6.83203125" style="342" bestFit="1" customWidth="1"/>
    <col min="12668" max="12668" width="3.25" style="342" customWidth="1"/>
    <col min="12669" max="12669" width="7.5" style="342" customWidth="1"/>
    <col min="12670" max="12670" width="2.75" style="342" bestFit="1" customWidth="1"/>
    <col min="12671" max="12672" width="6.25" style="342" customWidth="1"/>
    <col min="12673" max="12673" width="4.5" style="342" bestFit="1" customWidth="1"/>
    <col min="12674" max="12674" width="11.25" style="342" customWidth="1"/>
    <col min="12675" max="12693" width="10.33203125" style="342" customWidth="1"/>
    <col min="12694" max="12694" width="27.08203125" style="342" customWidth="1"/>
    <col min="12695" max="12695" width="13.5" style="342" customWidth="1"/>
    <col min="12696" max="12696" width="12.58203125" style="342" customWidth="1"/>
    <col min="12697" max="12697" width="12.75" style="342" customWidth="1"/>
    <col min="12698" max="12698" width="14.08203125" style="342" customWidth="1"/>
    <col min="12699" max="12699" width="13.75" style="342" customWidth="1"/>
    <col min="12700" max="12700" width="9" style="342" customWidth="1"/>
    <col min="12701" max="12701" width="4.5" style="342" customWidth="1"/>
    <col min="12702" max="12704" width="10.33203125" style="342" customWidth="1"/>
    <col min="12705" max="12705" width="6.83203125" style="342" customWidth="1"/>
    <col min="12706" max="12725" width="10.33203125" style="342" customWidth="1"/>
    <col min="12726" max="12726" width="27.08203125" style="342" customWidth="1"/>
    <col min="12727" max="12727" width="13.5" style="342" customWidth="1"/>
    <col min="12728" max="12728" width="12.58203125" style="342" customWidth="1"/>
    <col min="12729" max="12729" width="12.75" style="342" customWidth="1"/>
    <col min="12730" max="12730" width="14.08203125" style="342" customWidth="1"/>
    <col min="12731" max="12731" width="13.75" style="342" customWidth="1"/>
    <col min="12732" max="12732" width="9" style="342" customWidth="1"/>
    <col min="12733" max="12733" width="4.5" style="342" customWidth="1"/>
    <col min="12734" max="12736" width="10.33203125" style="342" customWidth="1"/>
    <col min="12737" max="12737" width="6.25" style="342" customWidth="1"/>
    <col min="12738" max="12738" width="27.08203125" style="342" customWidth="1"/>
    <col min="12739" max="12739" width="13.5" style="342" customWidth="1"/>
    <col min="12740" max="12740" width="12.58203125" style="342" customWidth="1"/>
    <col min="12741" max="12741" width="17.08203125" style="342" customWidth="1"/>
    <col min="12742" max="12742" width="14.08203125" style="342" customWidth="1"/>
    <col min="12743" max="12743" width="13.75" style="342" customWidth="1"/>
    <col min="12744" max="12744" width="9" style="342" customWidth="1"/>
    <col min="12745" max="12746" width="4.5" style="342" customWidth="1"/>
    <col min="12747" max="12750" width="10.33203125" style="342" customWidth="1"/>
    <col min="12751" max="12751" width="27.08203125" style="342" customWidth="1"/>
    <col min="12752" max="12752" width="13.5" style="342" customWidth="1"/>
    <col min="12753" max="12753" width="12.58203125" style="342" customWidth="1"/>
    <col min="12754" max="12754" width="15.25" style="342" customWidth="1"/>
    <col min="12755" max="12755" width="14.08203125" style="342" customWidth="1"/>
    <col min="12756" max="12756" width="17.75" style="342" customWidth="1"/>
    <col min="12757" max="12757" width="9" style="342" customWidth="1"/>
    <col min="12758" max="12758" width="4.5" style="342" customWidth="1"/>
    <col min="12759" max="12759" width="4.33203125" style="342" customWidth="1"/>
    <col min="12760" max="12763" width="10.33203125" style="342" customWidth="1"/>
    <col min="12764" max="12764" width="27.08203125" style="342" customWidth="1"/>
    <col min="12765" max="12765" width="13.5" style="342" customWidth="1"/>
    <col min="12766" max="12766" width="12.58203125" style="342" customWidth="1"/>
    <col min="12767" max="12767" width="15.25" style="342" customWidth="1"/>
    <col min="12768" max="12768" width="14.08203125" style="342" customWidth="1"/>
    <col min="12769" max="12769" width="16.25" style="342" customWidth="1"/>
    <col min="12770" max="12770" width="9" style="342" customWidth="1"/>
    <col min="12771" max="12771" width="4.5" style="342" customWidth="1"/>
    <col min="12772" max="12772" width="4.08203125" style="342" customWidth="1"/>
    <col min="12773" max="12792" width="10.33203125" style="342" customWidth="1"/>
    <col min="12793" max="12793" width="27.08203125" style="342" bestFit="1" customWidth="1"/>
    <col min="12794" max="12794" width="13.5" style="342" customWidth="1"/>
    <col min="12795" max="12795" width="12.58203125" style="342" customWidth="1"/>
    <col min="12796" max="12796" width="15.25" style="342" customWidth="1"/>
    <col min="12797" max="12797" width="14.08203125" style="342" customWidth="1"/>
    <col min="12798" max="12798" width="17.75" style="342" customWidth="1"/>
    <col min="12799" max="12799" width="9" style="342" customWidth="1"/>
    <col min="12800" max="12800" width="4.5" style="342" customWidth="1"/>
    <col min="12801" max="12801" width="4.08203125" style="342" customWidth="1"/>
    <col min="12802" max="12804" width="10.33203125" style="342" customWidth="1"/>
    <col min="12805" max="12914" width="10.33203125" style="342"/>
    <col min="12915" max="12915" width="3.83203125" style="342" customWidth="1"/>
    <col min="12916" max="12916" width="18.58203125" style="342" customWidth="1"/>
    <col min="12917" max="12917" width="19.75" style="342" customWidth="1"/>
    <col min="12918" max="12918" width="8" style="342" customWidth="1"/>
    <col min="12919" max="12919" width="2.75" style="342" bestFit="1" customWidth="1"/>
    <col min="12920" max="12921" width="6.25" style="342" bestFit="1" customWidth="1"/>
    <col min="12922" max="12922" width="18.83203125" style="342" bestFit="1" customWidth="1"/>
    <col min="12923" max="12923" width="6.83203125" style="342" bestFit="1" customWidth="1"/>
    <col min="12924" max="12924" width="3.25" style="342" customWidth="1"/>
    <col min="12925" max="12925" width="7.5" style="342" customWidth="1"/>
    <col min="12926" max="12926" width="2.75" style="342" bestFit="1" customWidth="1"/>
    <col min="12927" max="12928" width="6.25" style="342" customWidth="1"/>
    <col min="12929" max="12929" width="4.5" style="342" bestFit="1" customWidth="1"/>
    <col min="12930" max="12930" width="11.25" style="342" customWidth="1"/>
    <col min="12931" max="12949" width="10.33203125" style="342" customWidth="1"/>
    <col min="12950" max="12950" width="27.08203125" style="342" customWidth="1"/>
    <col min="12951" max="12951" width="13.5" style="342" customWidth="1"/>
    <col min="12952" max="12952" width="12.58203125" style="342" customWidth="1"/>
    <col min="12953" max="12953" width="12.75" style="342" customWidth="1"/>
    <col min="12954" max="12954" width="14.08203125" style="342" customWidth="1"/>
    <col min="12955" max="12955" width="13.75" style="342" customWidth="1"/>
    <col min="12956" max="12956" width="9" style="342" customWidth="1"/>
    <col min="12957" max="12957" width="4.5" style="342" customWidth="1"/>
    <col min="12958" max="12960" width="10.33203125" style="342" customWidth="1"/>
    <col min="12961" max="12961" width="6.83203125" style="342" customWidth="1"/>
    <col min="12962" max="12981" width="10.33203125" style="342" customWidth="1"/>
    <col min="12982" max="12982" width="27.08203125" style="342" customWidth="1"/>
    <col min="12983" max="12983" width="13.5" style="342" customWidth="1"/>
    <col min="12984" max="12984" width="12.58203125" style="342" customWidth="1"/>
    <col min="12985" max="12985" width="12.75" style="342" customWidth="1"/>
    <col min="12986" max="12986" width="14.08203125" style="342" customWidth="1"/>
    <col min="12987" max="12987" width="13.75" style="342" customWidth="1"/>
    <col min="12988" max="12988" width="9" style="342" customWidth="1"/>
    <col min="12989" max="12989" width="4.5" style="342" customWidth="1"/>
    <col min="12990" max="12992" width="10.33203125" style="342" customWidth="1"/>
    <col min="12993" max="12993" width="6.25" style="342" customWidth="1"/>
    <col min="12994" max="12994" width="27.08203125" style="342" customWidth="1"/>
    <col min="12995" max="12995" width="13.5" style="342" customWidth="1"/>
    <col min="12996" max="12996" width="12.58203125" style="342" customWidth="1"/>
    <col min="12997" max="12997" width="17.08203125" style="342" customWidth="1"/>
    <col min="12998" max="12998" width="14.08203125" style="342" customWidth="1"/>
    <col min="12999" max="12999" width="13.75" style="342" customWidth="1"/>
    <col min="13000" max="13000" width="9" style="342" customWidth="1"/>
    <col min="13001" max="13002" width="4.5" style="342" customWidth="1"/>
    <col min="13003" max="13006" width="10.33203125" style="342" customWidth="1"/>
    <col min="13007" max="13007" width="27.08203125" style="342" customWidth="1"/>
    <col min="13008" max="13008" width="13.5" style="342" customWidth="1"/>
    <col min="13009" max="13009" width="12.58203125" style="342" customWidth="1"/>
    <col min="13010" max="13010" width="15.25" style="342" customWidth="1"/>
    <col min="13011" max="13011" width="14.08203125" style="342" customWidth="1"/>
    <col min="13012" max="13012" width="17.75" style="342" customWidth="1"/>
    <col min="13013" max="13013" width="9" style="342" customWidth="1"/>
    <col min="13014" max="13014" width="4.5" style="342" customWidth="1"/>
    <col min="13015" max="13015" width="4.33203125" style="342" customWidth="1"/>
    <col min="13016" max="13019" width="10.33203125" style="342" customWidth="1"/>
    <col min="13020" max="13020" width="27.08203125" style="342" customWidth="1"/>
    <col min="13021" max="13021" width="13.5" style="342" customWidth="1"/>
    <col min="13022" max="13022" width="12.58203125" style="342" customWidth="1"/>
    <col min="13023" max="13023" width="15.25" style="342" customWidth="1"/>
    <col min="13024" max="13024" width="14.08203125" style="342" customWidth="1"/>
    <col min="13025" max="13025" width="16.25" style="342" customWidth="1"/>
    <col min="13026" max="13026" width="9" style="342" customWidth="1"/>
    <col min="13027" max="13027" width="4.5" style="342" customWidth="1"/>
    <col min="13028" max="13028" width="4.08203125" style="342" customWidth="1"/>
    <col min="13029" max="13048" width="10.33203125" style="342" customWidth="1"/>
    <col min="13049" max="13049" width="27.08203125" style="342" bestFit="1" customWidth="1"/>
    <col min="13050" max="13050" width="13.5" style="342" customWidth="1"/>
    <col min="13051" max="13051" width="12.58203125" style="342" customWidth="1"/>
    <col min="13052" max="13052" width="15.25" style="342" customWidth="1"/>
    <col min="13053" max="13053" width="14.08203125" style="342" customWidth="1"/>
    <col min="13054" max="13054" width="17.75" style="342" customWidth="1"/>
    <col min="13055" max="13055" width="9" style="342" customWidth="1"/>
    <col min="13056" max="13056" width="4.5" style="342" customWidth="1"/>
    <col min="13057" max="13057" width="4.08203125" style="342" customWidth="1"/>
    <col min="13058" max="13060" width="10.33203125" style="342" customWidth="1"/>
    <col min="13061" max="13170" width="10.33203125" style="342"/>
    <col min="13171" max="13171" width="3.83203125" style="342" customWidth="1"/>
    <col min="13172" max="13172" width="18.58203125" style="342" customWidth="1"/>
    <col min="13173" max="13173" width="19.75" style="342" customWidth="1"/>
    <col min="13174" max="13174" width="8" style="342" customWidth="1"/>
    <col min="13175" max="13175" width="2.75" style="342" bestFit="1" customWidth="1"/>
    <col min="13176" max="13177" width="6.25" style="342" bestFit="1" customWidth="1"/>
    <col min="13178" max="13178" width="18.83203125" style="342" bestFit="1" customWidth="1"/>
    <col min="13179" max="13179" width="6.83203125" style="342" bestFit="1" customWidth="1"/>
    <col min="13180" max="13180" width="3.25" style="342" customWidth="1"/>
    <col min="13181" max="13181" width="7.5" style="342" customWidth="1"/>
    <col min="13182" max="13182" width="2.75" style="342" bestFit="1" customWidth="1"/>
    <col min="13183" max="13184" width="6.25" style="342" customWidth="1"/>
    <col min="13185" max="13185" width="4.5" style="342" bestFit="1" customWidth="1"/>
    <col min="13186" max="13186" width="11.25" style="342" customWidth="1"/>
    <col min="13187" max="13205" width="10.33203125" style="342" customWidth="1"/>
    <col min="13206" max="13206" width="27.08203125" style="342" customWidth="1"/>
    <col min="13207" max="13207" width="13.5" style="342" customWidth="1"/>
    <col min="13208" max="13208" width="12.58203125" style="342" customWidth="1"/>
    <col min="13209" max="13209" width="12.75" style="342" customWidth="1"/>
    <col min="13210" max="13210" width="14.08203125" style="342" customWidth="1"/>
    <col min="13211" max="13211" width="13.75" style="342" customWidth="1"/>
    <col min="13212" max="13212" width="9" style="342" customWidth="1"/>
    <col min="13213" max="13213" width="4.5" style="342" customWidth="1"/>
    <col min="13214" max="13216" width="10.33203125" style="342" customWidth="1"/>
    <col min="13217" max="13217" width="6.83203125" style="342" customWidth="1"/>
    <col min="13218" max="13237" width="10.33203125" style="342" customWidth="1"/>
    <col min="13238" max="13238" width="27.08203125" style="342" customWidth="1"/>
    <col min="13239" max="13239" width="13.5" style="342" customWidth="1"/>
    <col min="13240" max="13240" width="12.58203125" style="342" customWidth="1"/>
    <col min="13241" max="13241" width="12.75" style="342" customWidth="1"/>
    <col min="13242" max="13242" width="14.08203125" style="342" customWidth="1"/>
    <col min="13243" max="13243" width="13.75" style="342" customWidth="1"/>
    <col min="13244" max="13244" width="9" style="342" customWidth="1"/>
    <col min="13245" max="13245" width="4.5" style="342" customWidth="1"/>
    <col min="13246" max="13248" width="10.33203125" style="342" customWidth="1"/>
    <col min="13249" max="13249" width="6.25" style="342" customWidth="1"/>
    <col min="13250" max="13250" width="27.08203125" style="342" customWidth="1"/>
    <col min="13251" max="13251" width="13.5" style="342" customWidth="1"/>
    <col min="13252" max="13252" width="12.58203125" style="342" customWidth="1"/>
    <col min="13253" max="13253" width="17.08203125" style="342" customWidth="1"/>
    <col min="13254" max="13254" width="14.08203125" style="342" customWidth="1"/>
    <col min="13255" max="13255" width="13.75" style="342" customWidth="1"/>
    <col min="13256" max="13256" width="9" style="342" customWidth="1"/>
    <col min="13257" max="13258" width="4.5" style="342" customWidth="1"/>
    <col min="13259" max="13262" width="10.33203125" style="342" customWidth="1"/>
    <col min="13263" max="13263" width="27.08203125" style="342" customWidth="1"/>
    <col min="13264" max="13264" width="13.5" style="342" customWidth="1"/>
    <col min="13265" max="13265" width="12.58203125" style="342" customWidth="1"/>
    <col min="13266" max="13266" width="15.25" style="342" customWidth="1"/>
    <col min="13267" max="13267" width="14.08203125" style="342" customWidth="1"/>
    <col min="13268" max="13268" width="17.75" style="342" customWidth="1"/>
    <col min="13269" max="13269" width="9" style="342" customWidth="1"/>
    <col min="13270" max="13270" width="4.5" style="342" customWidth="1"/>
    <col min="13271" max="13271" width="4.33203125" style="342" customWidth="1"/>
    <col min="13272" max="13275" width="10.33203125" style="342" customWidth="1"/>
    <col min="13276" max="13276" width="27.08203125" style="342" customWidth="1"/>
    <col min="13277" max="13277" width="13.5" style="342" customWidth="1"/>
    <col min="13278" max="13278" width="12.58203125" style="342" customWidth="1"/>
    <col min="13279" max="13279" width="15.25" style="342" customWidth="1"/>
    <col min="13280" max="13280" width="14.08203125" style="342" customWidth="1"/>
    <col min="13281" max="13281" width="16.25" style="342" customWidth="1"/>
    <col min="13282" max="13282" width="9" style="342" customWidth="1"/>
    <col min="13283" max="13283" width="4.5" style="342" customWidth="1"/>
    <col min="13284" max="13284" width="4.08203125" style="342" customWidth="1"/>
    <col min="13285" max="13304" width="10.33203125" style="342" customWidth="1"/>
    <col min="13305" max="13305" width="27.08203125" style="342" bestFit="1" customWidth="1"/>
    <col min="13306" max="13306" width="13.5" style="342" customWidth="1"/>
    <col min="13307" max="13307" width="12.58203125" style="342" customWidth="1"/>
    <col min="13308" max="13308" width="15.25" style="342" customWidth="1"/>
    <col min="13309" max="13309" width="14.08203125" style="342" customWidth="1"/>
    <col min="13310" max="13310" width="17.75" style="342" customWidth="1"/>
    <col min="13311" max="13311" width="9" style="342" customWidth="1"/>
    <col min="13312" max="13312" width="4.5" style="342" customWidth="1"/>
    <col min="13313" max="13313" width="4.08203125" style="342" customWidth="1"/>
    <col min="13314" max="13316" width="10.33203125" style="342" customWidth="1"/>
    <col min="13317" max="13426" width="10.33203125" style="342"/>
    <col min="13427" max="13427" width="3.83203125" style="342" customWidth="1"/>
    <col min="13428" max="13428" width="18.58203125" style="342" customWidth="1"/>
    <col min="13429" max="13429" width="19.75" style="342" customWidth="1"/>
    <col min="13430" max="13430" width="8" style="342" customWidth="1"/>
    <col min="13431" max="13431" width="2.75" style="342" bestFit="1" customWidth="1"/>
    <col min="13432" max="13433" width="6.25" style="342" bestFit="1" customWidth="1"/>
    <col min="13434" max="13434" width="18.83203125" style="342" bestFit="1" customWidth="1"/>
    <col min="13435" max="13435" width="6.83203125" style="342" bestFit="1" customWidth="1"/>
    <col min="13436" max="13436" width="3.25" style="342" customWidth="1"/>
    <col min="13437" max="13437" width="7.5" style="342" customWidth="1"/>
    <col min="13438" max="13438" width="2.75" style="342" bestFit="1" customWidth="1"/>
    <col min="13439" max="13440" width="6.25" style="342" customWidth="1"/>
    <col min="13441" max="13441" width="4.5" style="342" bestFit="1" customWidth="1"/>
    <col min="13442" max="13442" width="11.25" style="342" customWidth="1"/>
    <col min="13443" max="13461" width="10.33203125" style="342" customWidth="1"/>
    <col min="13462" max="13462" width="27.08203125" style="342" customWidth="1"/>
    <col min="13463" max="13463" width="13.5" style="342" customWidth="1"/>
    <col min="13464" max="13464" width="12.58203125" style="342" customWidth="1"/>
    <col min="13465" max="13465" width="12.75" style="342" customWidth="1"/>
    <col min="13466" max="13466" width="14.08203125" style="342" customWidth="1"/>
    <col min="13467" max="13467" width="13.75" style="342" customWidth="1"/>
    <col min="13468" max="13468" width="9" style="342" customWidth="1"/>
    <col min="13469" max="13469" width="4.5" style="342" customWidth="1"/>
    <col min="13470" max="13472" width="10.33203125" style="342" customWidth="1"/>
    <col min="13473" max="13473" width="6.83203125" style="342" customWidth="1"/>
    <col min="13474" max="13493" width="10.33203125" style="342" customWidth="1"/>
    <col min="13494" max="13494" width="27.08203125" style="342" customWidth="1"/>
    <col min="13495" max="13495" width="13.5" style="342" customWidth="1"/>
    <col min="13496" max="13496" width="12.58203125" style="342" customWidth="1"/>
    <col min="13497" max="13497" width="12.75" style="342" customWidth="1"/>
    <col min="13498" max="13498" width="14.08203125" style="342" customWidth="1"/>
    <col min="13499" max="13499" width="13.75" style="342" customWidth="1"/>
    <col min="13500" max="13500" width="9" style="342" customWidth="1"/>
    <col min="13501" max="13501" width="4.5" style="342" customWidth="1"/>
    <col min="13502" max="13504" width="10.33203125" style="342" customWidth="1"/>
    <col min="13505" max="13505" width="6.25" style="342" customWidth="1"/>
    <col min="13506" max="13506" width="27.08203125" style="342" customWidth="1"/>
    <col min="13507" max="13507" width="13.5" style="342" customWidth="1"/>
    <col min="13508" max="13508" width="12.58203125" style="342" customWidth="1"/>
    <col min="13509" max="13509" width="17.08203125" style="342" customWidth="1"/>
    <col min="13510" max="13510" width="14.08203125" style="342" customWidth="1"/>
    <col min="13511" max="13511" width="13.75" style="342" customWidth="1"/>
    <col min="13512" max="13512" width="9" style="342" customWidth="1"/>
    <col min="13513" max="13514" width="4.5" style="342" customWidth="1"/>
    <col min="13515" max="13518" width="10.33203125" style="342" customWidth="1"/>
    <col min="13519" max="13519" width="27.08203125" style="342" customWidth="1"/>
    <col min="13520" max="13520" width="13.5" style="342" customWidth="1"/>
    <col min="13521" max="13521" width="12.58203125" style="342" customWidth="1"/>
    <col min="13522" max="13522" width="15.25" style="342" customWidth="1"/>
    <col min="13523" max="13523" width="14.08203125" style="342" customWidth="1"/>
    <col min="13524" max="13524" width="17.75" style="342" customWidth="1"/>
    <col min="13525" max="13525" width="9" style="342" customWidth="1"/>
    <col min="13526" max="13526" width="4.5" style="342" customWidth="1"/>
    <col min="13527" max="13527" width="4.33203125" style="342" customWidth="1"/>
    <col min="13528" max="13531" width="10.33203125" style="342" customWidth="1"/>
    <col min="13532" max="13532" width="27.08203125" style="342" customWidth="1"/>
    <col min="13533" max="13533" width="13.5" style="342" customWidth="1"/>
    <col min="13534" max="13534" width="12.58203125" style="342" customWidth="1"/>
    <col min="13535" max="13535" width="15.25" style="342" customWidth="1"/>
    <col min="13536" max="13536" width="14.08203125" style="342" customWidth="1"/>
    <col min="13537" max="13537" width="16.25" style="342" customWidth="1"/>
    <col min="13538" max="13538" width="9" style="342" customWidth="1"/>
    <col min="13539" max="13539" width="4.5" style="342" customWidth="1"/>
    <col min="13540" max="13540" width="4.08203125" style="342" customWidth="1"/>
    <col min="13541" max="13560" width="10.33203125" style="342" customWidth="1"/>
    <col min="13561" max="13561" width="27.08203125" style="342" bestFit="1" customWidth="1"/>
    <col min="13562" max="13562" width="13.5" style="342" customWidth="1"/>
    <col min="13563" max="13563" width="12.58203125" style="342" customWidth="1"/>
    <col min="13564" max="13564" width="15.25" style="342" customWidth="1"/>
    <col min="13565" max="13565" width="14.08203125" style="342" customWidth="1"/>
    <col min="13566" max="13566" width="17.75" style="342" customWidth="1"/>
    <col min="13567" max="13567" width="9" style="342" customWidth="1"/>
    <col min="13568" max="13568" width="4.5" style="342" customWidth="1"/>
    <col min="13569" max="13569" width="4.08203125" style="342" customWidth="1"/>
    <col min="13570" max="13572" width="10.33203125" style="342" customWidth="1"/>
    <col min="13573" max="13682" width="10.33203125" style="342"/>
    <col min="13683" max="13683" width="3.83203125" style="342" customWidth="1"/>
    <col min="13684" max="13684" width="18.58203125" style="342" customWidth="1"/>
    <col min="13685" max="13685" width="19.75" style="342" customWidth="1"/>
    <col min="13686" max="13686" width="8" style="342" customWidth="1"/>
    <col min="13687" max="13687" width="2.75" style="342" bestFit="1" customWidth="1"/>
    <col min="13688" max="13689" width="6.25" style="342" bestFit="1" customWidth="1"/>
    <col min="13690" max="13690" width="18.83203125" style="342" bestFit="1" customWidth="1"/>
    <col min="13691" max="13691" width="6.83203125" style="342" bestFit="1" customWidth="1"/>
    <col min="13692" max="13692" width="3.25" style="342" customWidth="1"/>
    <col min="13693" max="13693" width="7.5" style="342" customWidth="1"/>
    <col min="13694" max="13694" width="2.75" style="342" bestFit="1" customWidth="1"/>
    <col min="13695" max="13696" width="6.25" style="342" customWidth="1"/>
    <col min="13697" max="13697" width="4.5" style="342" bestFit="1" customWidth="1"/>
    <col min="13698" max="13698" width="11.25" style="342" customWidth="1"/>
    <col min="13699" max="13717" width="10.33203125" style="342" customWidth="1"/>
    <col min="13718" max="13718" width="27.08203125" style="342" customWidth="1"/>
    <col min="13719" max="13719" width="13.5" style="342" customWidth="1"/>
    <col min="13720" max="13720" width="12.58203125" style="342" customWidth="1"/>
    <col min="13721" max="13721" width="12.75" style="342" customWidth="1"/>
    <col min="13722" max="13722" width="14.08203125" style="342" customWidth="1"/>
    <col min="13723" max="13723" width="13.75" style="342" customWidth="1"/>
    <col min="13724" max="13724" width="9" style="342" customWidth="1"/>
    <col min="13725" max="13725" width="4.5" style="342" customWidth="1"/>
    <col min="13726" max="13728" width="10.33203125" style="342" customWidth="1"/>
    <col min="13729" max="13729" width="6.83203125" style="342" customWidth="1"/>
    <col min="13730" max="13749" width="10.33203125" style="342" customWidth="1"/>
    <col min="13750" max="13750" width="27.08203125" style="342" customWidth="1"/>
    <col min="13751" max="13751" width="13.5" style="342" customWidth="1"/>
    <col min="13752" max="13752" width="12.58203125" style="342" customWidth="1"/>
    <col min="13753" max="13753" width="12.75" style="342" customWidth="1"/>
    <col min="13754" max="13754" width="14.08203125" style="342" customWidth="1"/>
    <col min="13755" max="13755" width="13.75" style="342" customWidth="1"/>
    <col min="13756" max="13756" width="9" style="342" customWidth="1"/>
    <col min="13757" max="13757" width="4.5" style="342" customWidth="1"/>
    <col min="13758" max="13760" width="10.33203125" style="342" customWidth="1"/>
    <col min="13761" max="13761" width="6.25" style="342" customWidth="1"/>
    <col min="13762" max="13762" width="27.08203125" style="342" customWidth="1"/>
    <col min="13763" max="13763" width="13.5" style="342" customWidth="1"/>
    <col min="13764" max="13764" width="12.58203125" style="342" customWidth="1"/>
    <col min="13765" max="13765" width="17.08203125" style="342" customWidth="1"/>
    <col min="13766" max="13766" width="14.08203125" style="342" customWidth="1"/>
    <col min="13767" max="13767" width="13.75" style="342" customWidth="1"/>
    <col min="13768" max="13768" width="9" style="342" customWidth="1"/>
    <col min="13769" max="13770" width="4.5" style="342" customWidth="1"/>
    <col min="13771" max="13774" width="10.33203125" style="342" customWidth="1"/>
    <col min="13775" max="13775" width="27.08203125" style="342" customWidth="1"/>
    <col min="13776" max="13776" width="13.5" style="342" customWidth="1"/>
    <col min="13777" max="13777" width="12.58203125" style="342" customWidth="1"/>
    <col min="13778" max="13778" width="15.25" style="342" customWidth="1"/>
    <col min="13779" max="13779" width="14.08203125" style="342" customWidth="1"/>
    <col min="13780" max="13780" width="17.75" style="342" customWidth="1"/>
    <col min="13781" max="13781" width="9" style="342" customWidth="1"/>
    <col min="13782" max="13782" width="4.5" style="342" customWidth="1"/>
    <col min="13783" max="13783" width="4.33203125" style="342" customWidth="1"/>
    <col min="13784" max="13787" width="10.33203125" style="342" customWidth="1"/>
    <col min="13788" max="13788" width="27.08203125" style="342" customWidth="1"/>
    <col min="13789" max="13789" width="13.5" style="342" customWidth="1"/>
    <col min="13790" max="13790" width="12.58203125" style="342" customWidth="1"/>
    <col min="13791" max="13791" width="15.25" style="342" customWidth="1"/>
    <col min="13792" max="13792" width="14.08203125" style="342" customWidth="1"/>
    <col min="13793" max="13793" width="16.25" style="342" customWidth="1"/>
    <col min="13794" max="13794" width="9" style="342" customWidth="1"/>
    <col min="13795" max="13795" width="4.5" style="342" customWidth="1"/>
    <col min="13796" max="13796" width="4.08203125" style="342" customWidth="1"/>
    <col min="13797" max="13816" width="10.33203125" style="342" customWidth="1"/>
    <col min="13817" max="13817" width="27.08203125" style="342" bestFit="1" customWidth="1"/>
    <col min="13818" max="13818" width="13.5" style="342" customWidth="1"/>
    <col min="13819" max="13819" width="12.58203125" style="342" customWidth="1"/>
    <col min="13820" max="13820" width="15.25" style="342" customWidth="1"/>
    <col min="13821" max="13821" width="14.08203125" style="342" customWidth="1"/>
    <col min="13822" max="13822" width="17.75" style="342" customWidth="1"/>
    <col min="13823" max="13823" width="9" style="342" customWidth="1"/>
    <col min="13824" max="13824" width="4.5" style="342" customWidth="1"/>
    <col min="13825" max="13825" width="4.08203125" style="342" customWidth="1"/>
    <col min="13826" max="13828" width="10.33203125" style="342" customWidth="1"/>
    <col min="13829" max="13938" width="10.33203125" style="342"/>
    <col min="13939" max="13939" width="3.83203125" style="342" customWidth="1"/>
    <col min="13940" max="13940" width="18.58203125" style="342" customWidth="1"/>
    <col min="13941" max="13941" width="19.75" style="342" customWidth="1"/>
    <col min="13942" max="13942" width="8" style="342" customWidth="1"/>
    <col min="13943" max="13943" width="2.75" style="342" bestFit="1" customWidth="1"/>
    <col min="13944" max="13945" width="6.25" style="342" bestFit="1" customWidth="1"/>
    <col min="13946" max="13946" width="18.83203125" style="342" bestFit="1" customWidth="1"/>
    <col min="13947" max="13947" width="6.83203125" style="342" bestFit="1" customWidth="1"/>
    <col min="13948" max="13948" width="3.25" style="342" customWidth="1"/>
    <col min="13949" max="13949" width="7.5" style="342" customWidth="1"/>
    <col min="13950" max="13950" width="2.75" style="342" bestFit="1" customWidth="1"/>
    <col min="13951" max="13952" width="6.25" style="342" customWidth="1"/>
    <col min="13953" max="13953" width="4.5" style="342" bestFit="1" customWidth="1"/>
    <col min="13954" max="13954" width="11.25" style="342" customWidth="1"/>
    <col min="13955" max="13973" width="10.33203125" style="342" customWidth="1"/>
    <col min="13974" max="13974" width="27.08203125" style="342" customWidth="1"/>
    <col min="13975" max="13975" width="13.5" style="342" customWidth="1"/>
    <col min="13976" max="13976" width="12.58203125" style="342" customWidth="1"/>
    <col min="13977" max="13977" width="12.75" style="342" customWidth="1"/>
    <col min="13978" max="13978" width="14.08203125" style="342" customWidth="1"/>
    <col min="13979" max="13979" width="13.75" style="342" customWidth="1"/>
    <col min="13980" max="13980" width="9" style="342" customWidth="1"/>
    <col min="13981" max="13981" width="4.5" style="342" customWidth="1"/>
    <col min="13982" max="13984" width="10.33203125" style="342" customWidth="1"/>
    <col min="13985" max="13985" width="6.83203125" style="342" customWidth="1"/>
    <col min="13986" max="14005" width="10.33203125" style="342" customWidth="1"/>
    <col min="14006" max="14006" width="27.08203125" style="342" customWidth="1"/>
    <col min="14007" max="14007" width="13.5" style="342" customWidth="1"/>
    <col min="14008" max="14008" width="12.58203125" style="342" customWidth="1"/>
    <col min="14009" max="14009" width="12.75" style="342" customWidth="1"/>
    <col min="14010" max="14010" width="14.08203125" style="342" customWidth="1"/>
    <col min="14011" max="14011" width="13.75" style="342" customWidth="1"/>
    <col min="14012" max="14012" width="9" style="342" customWidth="1"/>
    <col min="14013" max="14013" width="4.5" style="342" customWidth="1"/>
    <col min="14014" max="14016" width="10.33203125" style="342" customWidth="1"/>
    <col min="14017" max="14017" width="6.25" style="342" customWidth="1"/>
    <col min="14018" max="14018" width="27.08203125" style="342" customWidth="1"/>
    <col min="14019" max="14019" width="13.5" style="342" customWidth="1"/>
    <col min="14020" max="14020" width="12.58203125" style="342" customWidth="1"/>
    <col min="14021" max="14021" width="17.08203125" style="342" customWidth="1"/>
    <col min="14022" max="14022" width="14.08203125" style="342" customWidth="1"/>
    <col min="14023" max="14023" width="13.75" style="342" customWidth="1"/>
    <col min="14024" max="14024" width="9" style="342" customWidth="1"/>
    <col min="14025" max="14026" width="4.5" style="342" customWidth="1"/>
    <col min="14027" max="14030" width="10.33203125" style="342" customWidth="1"/>
    <col min="14031" max="14031" width="27.08203125" style="342" customWidth="1"/>
    <col min="14032" max="14032" width="13.5" style="342" customWidth="1"/>
    <col min="14033" max="14033" width="12.58203125" style="342" customWidth="1"/>
    <col min="14034" max="14034" width="15.25" style="342" customWidth="1"/>
    <col min="14035" max="14035" width="14.08203125" style="342" customWidth="1"/>
    <col min="14036" max="14036" width="17.75" style="342" customWidth="1"/>
    <col min="14037" max="14037" width="9" style="342" customWidth="1"/>
    <col min="14038" max="14038" width="4.5" style="342" customWidth="1"/>
    <col min="14039" max="14039" width="4.33203125" style="342" customWidth="1"/>
    <col min="14040" max="14043" width="10.33203125" style="342" customWidth="1"/>
    <col min="14044" max="14044" width="27.08203125" style="342" customWidth="1"/>
    <col min="14045" max="14045" width="13.5" style="342" customWidth="1"/>
    <col min="14046" max="14046" width="12.58203125" style="342" customWidth="1"/>
    <col min="14047" max="14047" width="15.25" style="342" customWidth="1"/>
    <col min="14048" max="14048" width="14.08203125" style="342" customWidth="1"/>
    <col min="14049" max="14049" width="16.25" style="342" customWidth="1"/>
    <col min="14050" max="14050" width="9" style="342" customWidth="1"/>
    <col min="14051" max="14051" width="4.5" style="342" customWidth="1"/>
    <col min="14052" max="14052" width="4.08203125" style="342" customWidth="1"/>
    <col min="14053" max="14072" width="10.33203125" style="342" customWidth="1"/>
    <col min="14073" max="14073" width="27.08203125" style="342" bestFit="1" customWidth="1"/>
    <col min="14074" max="14074" width="13.5" style="342" customWidth="1"/>
    <col min="14075" max="14075" width="12.58203125" style="342" customWidth="1"/>
    <col min="14076" max="14076" width="15.25" style="342" customWidth="1"/>
    <col min="14077" max="14077" width="14.08203125" style="342" customWidth="1"/>
    <col min="14078" max="14078" width="17.75" style="342" customWidth="1"/>
    <col min="14079" max="14079" width="9" style="342" customWidth="1"/>
    <col min="14080" max="14080" width="4.5" style="342" customWidth="1"/>
    <col min="14081" max="14081" width="4.08203125" style="342" customWidth="1"/>
    <col min="14082" max="14084" width="10.33203125" style="342" customWidth="1"/>
    <col min="14085" max="14194" width="10.33203125" style="342"/>
    <col min="14195" max="14195" width="3.83203125" style="342" customWidth="1"/>
    <col min="14196" max="14196" width="18.58203125" style="342" customWidth="1"/>
    <col min="14197" max="14197" width="19.75" style="342" customWidth="1"/>
    <col min="14198" max="14198" width="8" style="342" customWidth="1"/>
    <col min="14199" max="14199" width="2.75" style="342" bestFit="1" customWidth="1"/>
    <col min="14200" max="14201" width="6.25" style="342" bestFit="1" customWidth="1"/>
    <col min="14202" max="14202" width="18.83203125" style="342" bestFit="1" customWidth="1"/>
    <col min="14203" max="14203" width="6.83203125" style="342" bestFit="1" customWidth="1"/>
    <col min="14204" max="14204" width="3.25" style="342" customWidth="1"/>
    <col min="14205" max="14205" width="7.5" style="342" customWidth="1"/>
    <col min="14206" max="14206" width="2.75" style="342" bestFit="1" customWidth="1"/>
    <col min="14207" max="14208" width="6.25" style="342" customWidth="1"/>
    <col min="14209" max="14209" width="4.5" style="342" bestFit="1" customWidth="1"/>
    <col min="14210" max="14210" width="11.25" style="342" customWidth="1"/>
    <col min="14211" max="14229" width="10.33203125" style="342" customWidth="1"/>
    <col min="14230" max="14230" width="27.08203125" style="342" customWidth="1"/>
    <col min="14231" max="14231" width="13.5" style="342" customWidth="1"/>
    <col min="14232" max="14232" width="12.58203125" style="342" customWidth="1"/>
    <col min="14233" max="14233" width="12.75" style="342" customWidth="1"/>
    <col min="14234" max="14234" width="14.08203125" style="342" customWidth="1"/>
    <col min="14235" max="14235" width="13.75" style="342" customWidth="1"/>
    <col min="14236" max="14236" width="9" style="342" customWidth="1"/>
    <col min="14237" max="14237" width="4.5" style="342" customWidth="1"/>
    <col min="14238" max="14240" width="10.33203125" style="342" customWidth="1"/>
    <col min="14241" max="14241" width="6.83203125" style="342" customWidth="1"/>
    <col min="14242" max="14261" width="10.33203125" style="342" customWidth="1"/>
    <col min="14262" max="14262" width="27.08203125" style="342" customWidth="1"/>
    <col min="14263" max="14263" width="13.5" style="342" customWidth="1"/>
    <col min="14264" max="14264" width="12.58203125" style="342" customWidth="1"/>
    <col min="14265" max="14265" width="12.75" style="342" customWidth="1"/>
    <col min="14266" max="14266" width="14.08203125" style="342" customWidth="1"/>
    <col min="14267" max="14267" width="13.75" style="342" customWidth="1"/>
    <col min="14268" max="14268" width="9" style="342" customWidth="1"/>
    <col min="14269" max="14269" width="4.5" style="342" customWidth="1"/>
    <col min="14270" max="14272" width="10.33203125" style="342" customWidth="1"/>
    <col min="14273" max="14273" width="6.25" style="342" customWidth="1"/>
    <col min="14274" max="14274" width="27.08203125" style="342" customWidth="1"/>
    <col min="14275" max="14275" width="13.5" style="342" customWidth="1"/>
    <col min="14276" max="14276" width="12.58203125" style="342" customWidth="1"/>
    <col min="14277" max="14277" width="17.08203125" style="342" customWidth="1"/>
    <col min="14278" max="14278" width="14.08203125" style="342" customWidth="1"/>
    <col min="14279" max="14279" width="13.75" style="342" customWidth="1"/>
    <col min="14280" max="14280" width="9" style="342" customWidth="1"/>
    <col min="14281" max="14282" width="4.5" style="342" customWidth="1"/>
    <col min="14283" max="14286" width="10.33203125" style="342" customWidth="1"/>
    <col min="14287" max="14287" width="27.08203125" style="342" customWidth="1"/>
    <col min="14288" max="14288" width="13.5" style="342" customWidth="1"/>
    <col min="14289" max="14289" width="12.58203125" style="342" customWidth="1"/>
    <col min="14290" max="14290" width="15.25" style="342" customWidth="1"/>
    <col min="14291" max="14291" width="14.08203125" style="342" customWidth="1"/>
    <col min="14292" max="14292" width="17.75" style="342" customWidth="1"/>
    <col min="14293" max="14293" width="9" style="342" customWidth="1"/>
    <col min="14294" max="14294" width="4.5" style="342" customWidth="1"/>
    <col min="14295" max="14295" width="4.33203125" style="342" customWidth="1"/>
    <col min="14296" max="14299" width="10.33203125" style="342" customWidth="1"/>
    <col min="14300" max="14300" width="27.08203125" style="342" customWidth="1"/>
    <col min="14301" max="14301" width="13.5" style="342" customWidth="1"/>
    <col min="14302" max="14302" width="12.58203125" style="342" customWidth="1"/>
    <col min="14303" max="14303" width="15.25" style="342" customWidth="1"/>
    <col min="14304" max="14304" width="14.08203125" style="342" customWidth="1"/>
    <col min="14305" max="14305" width="16.25" style="342" customWidth="1"/>
    <col min="14306" max="14306" width="9" style="342" customWidth="1"/>
    <col min="14307" max="14307" width="4.5" style="342" customWidth="1"/>
    <col min="14308" max="14308" width="4.08203125" style="342" customWidth="1"/>
    <col min="14309" max="14328" width="10.33203125" style="342" customWidth="1"/>
    <col min="14329" max="14329" width="27.08203125" style="342" bestFit="1" customWidth="1"/>
    <col min="14330" max="14330" width="13.5" style="342" customWidth="1"/>
    <col min="14331" max="14331" width="12.58203125" style="342" customWidth="1"/>
    <col min="14332" max="14332" width="15.25" style="342" customWidth="1"/>
    <col min="14333" max="14333" width="14.08203125" style="342" customWidth="1"/>
    <col min="14334" max="14334" width="17.75" style="342" customWidth="1"/>
    <col min="14335" max="14335" width="9" style="342" customWidth="1"/>
    <col min="14336" max="14336" width="4.5" style="342" customWidth="1"/>
    <col min="14337" max="14337" width="4.08203125" style="342" customWidth="1"/>
    <col min="14338" max="14340" width="10.33203125" style="342" customWidth="1"/>
    <col min="14341" max="14450" width="10.33203125" style="342"/>
    <col min="14451" max="14451" width="3.83203125" style="342" customWidth="1"/>
    <col min="14452" max="14452" width="18.58203125" style="342" customWidth="1"/>
    <col min="14453" max="14453" width="19.75" style="342" customWidth="1"/>
    <col min="14454" max="14454" width="8" style="342" customWidth="1"/>
    <col min="14455" max="14455" width="2.75" style="342" bestFit="1" customWidth="1"/>
    <col min="14456" max="14457" width="6.25" style="342" bestFit="1" customWidth="1"/>
    <col min="14458" max="14458" width="18.83203125" style="342" bestFit="1" customWidth="1"/>
    <col min="14459" max="14459" width="6.83203125" style="342" bestFit="1" customWidth="1"/>
    <col min="14460" max="14460" width="3.25" style="342" customWidth="1"/>
    <col min="14461" max="14461" width="7.5" style="342" customWidth="1"/>
    <col min="14462" max="14462" width="2.75" style="342" bestFit="1" customWidth="1"/>
    <col min="14463" max="14464" width="6.25" style="342" customWidth="1"/>
    <col min="14465" max="14465" width="4.5" style="342" bestFit="1" customWidth="1"/>
    <col min="14466" max="14466" width="11.25" style="342" customWidth="1"/>
    <col min="14467" max="14485" width="10.33203125" style="342" customWidth="1"/>
    <col min="14486" max="14486" width="27.08203125" style="342" customWidth="1"/>
    <col min="14487" max="14487" width="13.5" style="342" customWidth="1"/>
    <col min="14488" max="14488" width="12.58203125" style="342" customWidth="1"/>
    <col min="14489" max="14489" width="12.75" style="342" customWidth="1"/>
    <col min="14490" max="14490" width="14.08203125" style="342" customWidth="1"/>
    <col min="14491" max="14491" width="13.75" style="342" customWidth="1"/>
    <col min="14492" max="14492" width="9" style="342" customWidth="1"/>
    <col min="14493" max="14493" width="4.5" style="342" customWidth="1"/>
    <col min="14494" max="14496" width="10.33203125" style="342" customWidth="1"/>
    <col min="14497" max="14497" width="6.83203125" style="342" customWidth="1"/>
    <col min="14498" max="14517" width="10.33203125" style="342" customWidth="1"/>
    <col min="14518" max="14518" width="27.08203125" style="342" customWidth="1"/>
    <col min="14519" max="14519" width="13.5" style="342" customWidth="1"/>
    <col min="14520" max="14520" width="12.58203125" style="342" customWidth="1"/>
    <col min="14521" max="14521" width="12.75" style="342" customWidth="1"/>
    <col min="14522" max="14522" width="14.08203125" style="342" customWidth="1"/>
    <col min="14523" max="14523" width="13.75" style="342" customWidth="1"/>
    <col min="14524" max="14524" width="9" style="342" customWidth="1"/>
    <col min="14525" max="14525" width="4.5" style="342" customWidth="1"/>
    <col min="14526" max="14528" width="10.33203125" style="342" customWidth="1"/>
    <col min="14529" max="14529" width="6.25" style="342" customWidth="1"/>
    <col min="14530" max="14530" width="27.08203125" style="342" customWidth="1"/>
    <col min="14531" max="14531" width="13.5" style="342" customWidth="1"/>
    <col min="14532" max="14532" width="12.58203125" style="342" customWidth="1"/>
    <col min="14533" max="14533" width="17.08203125" style="342" customWidth="1"/>
    <col min="14534" max="14534" width="14.08203125" style="342" customWidth="1"/>
    <col min="14535" max="14535" width="13.75" style="342" customWidth="1"/>
    <col min="14536" max="14536" width="9" style="342" customWidth="1"/>
    <col min="14537" max="14538" width="4.5" style="342" customWidth="1"/>
    <col min="14539" max="14542" width="10.33203125" style="342" customWidth="1"/>
    <col min="14543" max="14543" width="27.08203125" style="342" customWidth="1"/>
    <col min="14544" max="14544" width="13.5" style="342" customWidth="1"/>
    <col min="14545" max="14545" width="12.58203125" style="342" customWidth="1"/>
    <col min="14546" max="14546" width="15.25" style="342" customWidth="1"/>
    <col min="14547" max="14547" width="14.08203125" style="342" customWidth="1"/>
    <col min="14548" max="14548" width="17.75" style="342" customWidth="1"/>
    <col min="14549" max="14549" width="9" style="342" customWidth="1"/>
    <col min="14550" max="14550" width="4.5" style="342" customWidth="1"/>
    <col min="14551" max="14551" width="4.33203125" style="342" customWidth="1"/>
    <col min="14552" max="14555" width="10.33203125" style="342" customWidth="1"/>
    <col min="14556" max="14556" width="27.08203125" style="342" customWidth="1"/>
    <col min="14557" max="14557" width="13.5" style="342" customWidth="1"/>
    <col min="14558" max="14558" width="12.58203125" style="342" customWidth="1"/>
    <col min="14559" max="14559" width="15.25" style="342" customWidth="1"/>
    <col min="14560" max="14560" width="14.08203125" style="342" customWidth="1"/>
    <col min="14561" max="14561" width="16.25" style="342" customWidth="1"/>
    <col min="14562" max="14562" width="9" style="342" customWidth="1"/>
    <col min="14563" max="14563" width="4.5" style="342" customWidth="1"/>
    <col min="14564" max="14564" width="4.08203125" style="342" customWidth="1"/>
    <col min="14565" max="14584" width="10.33203125" style="342" customWidth="1"/>
    <col min="14585" max="14585" width="27.08203125" style="342" bestFit="1" customWidth="1"/>
    <col min="14586" max="14586" width="13.5" style="342" customWidth="1"/>
    <col min="14587" max="14587" width="12.58203125" style="342" customWidth="1"/>
    <col min="14588" max="14588" width="15.25" style="342" customWidth="1"/>
    <col min="14589" max="14589" width="14.08203125" style="342" customWidth="1"/>
    <col min="14590" max="14590" width="17.75" style="342" customWidth="1"/>
    <col min="14591" max="14591" width="9" style="342" customWidth="1"/>
    <col min="14592" max="14592" width="4.5" style="342" customWidth="1"/>
    <col min="14593" max="14593" width="4.08203125" style="342" customWidth="1"/>
    <col min="14594" max="14596" width="10.33203125" style="342" customWidth="1"/>
    <col min="14597" max="14706" width="10.33203125" style="342"/>
    <col min="14707" max="14707" width="3.83203125" style="342" customWidth="1"/>
    <col min="14708" max="14708" width="18.58203125" style="342" customWidth="1"/>
    <col min="14709" max="14709" width="19.75" style="342" customWidth="1"/>
    <col min="14710" max="14710" width="8" style="342" customWidth="1"/>
    <col min="14711" max="14711" width="2.75" style="342" bestFit="1" customWidth="1"/>
    <col min="14712" max="14713" width="6.25" style="342" bestFit="1" customWidth="1"/>
    <col min="14714" max="14714" width="18.83203125" style="342" bestFit="1" customWidth="1"/>
    <col min="14715" max="14715" width="6.83203125" style="342" bestFit="1" customWidth="1"/>
    <col min="14716" max="14716" width="3.25" style="342" customWidth="1"/>
    <col min="14717" max="14717" width="7.5" style="342" customWidth="1"/>
    <col min="14718" max="14718" width="2.75" style="342" bestFit="1" customWidth="1"/>
    <col min="14719" max="14720" width="6.25" style="342" customWidth="1"/>
    <col min="14721" max="14721" width="4.5" style="342" bestFit="1" customWidth="1"/>
    <col min="14722" max="14722" width="11.25" style="342" customWidth="1"/>
    <col min="14723" max="14741" width="10.33203125" style="342" customWidth="1"/>
    <col min="14742" max="14742" width="27.08203125" style="342" customWidth="1"/>
    <col min="14743" max="14743" width="13.5" style="342" customWidth="1"/>
    <col min="14744" max="14744" width="12.58203125" style="342" customWidth="1"/>
    <col min="14745" max="14745" width="12.75" style="342" customWidth="1"/>
    <col min="14746" max="14746" width="14.08203125" style="342" customWidth="1"/>
    <col min="14747" max="14747" width="13.75" style="342" customWidth="1"/>
    <col min="14748" max="14748" width="9" style="342" customWidth="1"/>
    <col min="14749" max="14749" width="4.5" style="342" customWidth="1"/>
    <col min="14750" max="14752" width="10.33203125" style="342" customWidth="1"/>
    <col min="14753" max="14753" width="6.83203125" style="342" customWidth="1"/>
    <col min="14754" max="14773" width="10.33203125" style="342" customWidth="1"/>
    <col min="14774" max="14774" width="27.08203125" style="342" customWidth="1"/>
    <col min="14775" max="14775" width="13.5" style="342" customWidth="1"/>
    <col min="14776" max="14776" width="12.58203125" style="342" customWidth="1"/>
    <col min="14777" max="14777" width="12.75" style="342" customWidth="1"/>
    <col min="14778" max="14778" width="14.08203125" style="342" customWidth="1"/>
    <col min="14779" max="14779" width="13.75" style="342" customWidth="1"/>
    <col min="14780" max="14780" width="9" style="342" customWidth="1"/>
    <col min="14781" max="14781" width="4.5" style="342" customWidth="1"/>
    <col min="14782" max="14784" width="10.33203125" style="342" customWidth="1"/>
    <col min="14785" max="14785" width="6.25" style="342" customWidth="1"/>
    <col min="14786" max="14786" width="27.08203125" style="342" customWidth="1"/>
    <col min="14787" max="14787" width="13.5" style="342" customWidth="1"/>
    <col min="14788" max="14788" width="12.58203125" style="342" customWidth="1"/>
    <col min="14789" max="14789" width="17.08203125" style="342" customWidth="1"/>
    <col min="14790" max="14790" width="14.08203125" style="342" customWidth="1"/>
    <col min="14791" max="14791" width="13.75" style="342" customWidth="1"/>
    <col min="14792" max="14792" width="9" style="342" customWidth="1"/>
    <col min="14793" max="14794" width="4.5" style="342" customWidth="1"/>
    <col min="14795" max="14798" width="10.33203125" style="342" customWidth="1"/>
    <col min="14799" max="14799" width="27.08203125" style="342" customWidth="1"/>
    <col min="14800" max="14800" width="13.5" style="342" customWidth="1"/>
    <col min="14801" max="14801" width="12.58203125" style="342" customWidth="1"/>
    <col min="14802" max="14802" width="15.25" style="342" customWidth="1"/>
    <col min="14803" max="14803" width="14.08203125" style="342" customWidth="1"/>
    <col min="14804" max="14804" width="17.75" style="342" customWidth="1"/>
    <col min="14805" max="14805" width="9" style="342" customWidth="1"/>
    <col min="14806" max="14806" width="4.5" style="342" customWidth="1"/>
    <col min="14807" max="14807" width="4.33203125" style="342" customWidth="1"/>
    <col min="14808" max="14811" width="10.33203125" style="342" customWidth="1"/>
    <col min="14812" max="14812" width="27.08203125" style="342" customWidth="1"/>
    <col min="14813" max="14813" width="13.5" style="342" customWidth="1"/>
    <col min="14814" max="14814" width="12.58203125" style="342" customWidth="1"/>
    <col min="14815" max="14815" width="15.25" style="342" customWidth="1"/>
    <col min="14816" max="14816" width="14.08203125" style="342" customWidth="1"/>
    <col min="14817" max="14817" width="16.25" style="342" customWidth="1"/>
    <col min="14818" max="14818" width="9" style="342" customWidth="1"/>
    <col min="14819" max="14819" width="4.5" style="342" customWidth="1"/>
    <col min="14820" max="14820" width="4.08203125" style="342" customWidth="1"/>
    <col min="14821" max="14840" width="10.33203125" style="342" customWidth="1"/>
    <col min="14841" max="14841" width="27.08203125" style="342" bestFit="1" customWidth="1"/>
    <col min="14842" max="14842" width="13.5" style="342" customWidth="1"/>
    <col min="14843" max="14843" width="12.58203125" style="342" customWidth="1"/>
    <col min="14844" max="14844" width="15.25" style="342" customWidth="1"/>
    <col min="14845" max="14845" width="14.08203125" style="342" customWidth="1"/>
    <col min="14846" max="14846" width="17.75" style="342" customWidth="1"/>
    <col min="14847" max="14847" width="9" style="342" customWidth="1"/>
    <col min="14848" max="14848" width="4.5" style="342" customWidth="1"/>
    <col min="14849" max="14849" width="4.08203125" style="342" customWidth="1"/>
    <col min="14850" max="14852" width="10.33203125" style="342" customWidth="1"/>
    <col min="14853" max="14962" width="10.33203125" style="342"/>
    <col min="14963" max="14963" width="3.83203125" style="342" customWidth="1"/>
    <col min="14964" max="14964" width="18.58203125" style="342" customWidth="1"/>
    <col min="14965" max="14965" width="19.75" style="342" customWidth="1"/>
    <col min="14966" max="14966" width="8" style="342" customWidth="1"/>
    <col min="14967" max="14967" width="2.75" style="342" bestFit="1" customWidth="1"/>
    <col min="14968" max="14969" width="6.25" style="342" bestFit="1" customWidth="1"/>
    <col min="14970" max="14970" width="18.83203125" style="342" bestFit="1" customWidth="1"/>
    <col min="14971" max="14971" width="6.83203125" style="342" bestFit="1" customWidth="1"/>
    <col min="14972" max="14972" width="3.25" style="342" customWidth="1"/>
    <col min="14973" max="14973" width="7.5" style="342" customWidth="1"/>
    <col min="14974" max="14974" width="2.75" style="342" bestFit="1" customWidth="1"/>
    <col min="14975" max="14976" width="6.25" style="342" customWidth="1"/>
    <col min="14977" max="14977" width="4.5" style="342" bestFit="1" customWidth="1"/>
    <col min="14978" max="14978" width="11.25" style="342" customWidth="1"/>
    <col min="14979" max="14997" width="10.33203125" style="342" customWidth="1"/>
    <col min="14998" max="14998" width="27.08203125" style="342" customWidth="1"/>
    <col min="14999" max="14999" width="13.5" style="342" customWidth="1"/>
    <col min="15000" max="15000" width="12.58203125" style="342" customWidth="1"/>
    <col min="15001" max="15001" width="12.75" style="342" customWidth="1"/>
    <col min="15002" max="15002" width="14.08203125" style="342" customWidth="1"/>
    <col min="15003" max="15003" width="13.75" style="342" customWidth="1"/>
    <col min="15004" max="15004" width="9" style="342" customWidth="1"/>
    <col min="15005" max="15005" width="4.5" style="342" customWidth="1"/>
    <col min="15006" max="15008" width="10.33203125" style="342" customWidth="1"/>
    <col min="15009" max="15009" width="6.83203125" style="342" customWidth="1"/>
    <col min="15010" max="15029" width="10.33203125" style="342" customWidth="1"/>
    <col min="15030" max="15030" width="27.08203125" style="342" customWidth="1"/>
    <col min="15031" max="15031" width="13.5" style="342" customWidth="1"/>
    <col min="15032" max="15032" width="12.58203125" style="342" customWidth="1"/>
    <col min="15033" max="15033" width="12.75" style="342" customWidth="1"/>
    <col min="15034" max="15034" width="14.08203125" style="342" customWidth="1"/>
    <col min="15035" max="15035" width="13.75" style="342" customWidth="1"/>
    <col min="15036" max="15036" width="9" style="342" customWidth="1"/>
    <col min="15037" max="15037" width="4.5" style="342" customWidth="1"/>
    <col min="15038" max="15040" width="10.33203125" style="342" customWidth="1"/>
    <col min="15041" max="15041" width="6.25" style="342" customWidth="1"/>
    <col min="15042" max="15042" width="27.08203125" style="342" customWidth="1"/>
    <col min="15043" max="15043" width="13.5" style="342" customWidth="1"/>
    <col min="15044" max="15044" width="12.58203125" style="342" customWidth="1"/>
    <col min="15045" max="15045" width="17.08203125" style="342" customWidth="1"/>
    <col min="15046" max="15046" width="14.08203125" style="342" customWidth="1"/>
    <col min="15047" max="15047" width="13.75" style="342" customWidth="1"/>
    <col min="15048" max="15048" width="9" style="342" customWidth="1"/>
    <col min="15049" max="15050" width="4.5" style="342" customWidth="1"/>
    <col min="15051" max="15054" width="10.33203125" style="342" customWidth="1"/>
    <col min="15055" max="15055" width="27.08203125" style="342" customWidth="1"/>
    <col min="15056" max="15056" width="13.5" style="342" customWidth="1"/>
    <col min="15057" max="15057" width="12.58203125" style="342" customWidth="1"/>
    <col min="15058" max="15058" width="15.25" style="342" customWidth="1"/>
    <col min="15059" max="15059" width="14.08203125" style="342" customWidth="1"/>
    <col min="15060" max="15060" width="17.75" style="342" customWidth="1"/>
    <col min="15061" max="15061" width="9" style="342" customWidth="1"/>
    <col min="15062" max="15062" width="4.5" style="342" customWidth="1"/>
    <col min="15063" max="15063" width="4.33203125" style="342" customWidth="1"/>
    <col min="15064" max="15067" width="10.33203125" style="342" customWidth="1"/>
    <col min="15068" max="15068" width="27.08203125" style="342" customWidth="1"/>
    <col min="15069" max="15069" width="13.5" style="342" customWidth="1"/>
    <col min="15070" max="15070" width="12.58203125" style="342" customWidth="1"/>
    <col min="15071" max="15071" width="15.25" style="342" customWidth="1"/>
    <col min="15072" max="15072" width="14.08203125" style="342" customWidth="1"/>
    <col min="15073" max="15073" width="16.25" style="342" customWidth="1"/>
    <col min="15074" max="15074" width="9" style="342" customWidth="1"/>
    <col min="15075" max="15075" width="4.5" style="342" customWidth="1"/>
    <col min="15076" max="15076" width="4.08203125" style="342" customWidth="1"/>
    <col min="15077" max="15096" width="10.33203125" style="342" customWidth="1"/>
    <col min="15097" max="15097" width="27.08203125" style="342" bestFit="1" customWidth="1"/>
    <col min="15098" max="15098" width="13.5" style="342" customWidth="1"/>
    <col min="15099" max="15099" width="12.58203125" style="342" customWidth="1"/>
    <col min="15100" max="15100" width="15.25" style="342" customWidth="1"/>
    <col min="15101" max="15101" width="14.08203125" style="342" customWidth="1"/>
    <col min="15102" max="15102" width="17.75" style="342" customWidth="1"/>
    <col min="15103" max="15103" width="9" style="342" customWidth="1"/>
    <col min="15104" max="15104" width="4.5" style="342" customWidth="1"/>
    <col min="15105" max="15105" width="4.08203125" style="342" customWidth="1"/>
    <col min="15106" max="15108" width="10.33203125" style="342" customWidth="1"/>
    <col min="15109" max="15218" width="10.33203125" style="342"/>
    <col min="15219" max="15219" width="3.83203125" style="342" customWidth="1"/>
    <col min="15220" max="15220" width="18.58203125" style="342" customWidth="1"/>
    <col min="15221" max="15221" width="19.75" style="342" customWidth="1"/>
    <col min="15222" max="15222" width="8" style="342" customWidth="1"/>
    <col min="15223" max="15223" width="2.75" style="342" bestFit="1" customWidth="1"/>
    <col min="15224" max="15225" width="6.25" style="342" bestFit="1" customWidth="1"/>
    <col min="15226" max="15226" width="18.83203125" style="342" bestFit="1" customWidth="1"/>
    <col min="15227" max="15227" width="6.83203125" style="342" bestFit="1" customWidth="1"/>
    <col min="15228" max="15228" width="3.25" style="342" customWidth="1"/>
    <col min="15229" max="15229" width="7.5" style="342" customWidth="1"/>
    <col min="15230" max="15230" width="2.75" style="342" bestFit="1" customWidth="1"/>
    <col min="15231" max="15232" width="6.25" style="342" customWidth="1"/>
    <col min="15233" max="15233" width="4.5" style="342" bestFit="1" customWidth="1"/>
    <col min="15234" max="15234" width="11.25" style="342" customWidth="1"/>
    <col min="15235" max="15253" width="10.33203125" style="342" customWidth="1"/>
    <col min="15254" max="15254" width="27.08203125" style="342" customWidth="1"/>
    <col min="15255" max="15255" width="13.5" style="342" customWidth="1"/>
    <col min="15256" max="15256" width="12.58203125" style="342" customWidth="1"/>
    <col min="15257" max="15257" width="12.75" style="342" customWidth="1"/>
    <col min="15258" max="15258" width="14.08203125" style="342" customWidth="1"/>
    <col min="15259" max="15259" width="13.75" style="342" customWidth="1"/>
    <col min="15260" max="15260" width="9" style="342" customWidth="1"/>
    <col min="15261" max="15261" width="4.5" style="342" customWidth="1"/>
    <col min="15262" max="15264" width="10.33203125" style="342" customWidth="1"/>
    <col min="15265" max="15265" width="6.83203125" style="342" customWidth="1"/>
    <col min="15266" max="15285" width="10.33203125" style="342" customWidth="1"/>
    <col min="15286" max="15286" width="27.08203125" style="342" customWidth="1"/>
    <col min="15287" max="15287" width="13.5" style="342" customWidth="1"/>
    <col min="15288" max="15288" width="12.58203125" style="342" customWidth="1"/>
    <col min="15289" max="15289" width="12.75" style="342" customWidth="1"/>
    <col min="15290" max="15290" width="14.08203125" style="342" customWidth="1"/>
    <col min="15291" max="15291" width="13.75" style="342" customWidth="1"/>
    <col min="15292" max="15292" width="9" style="342" customWidth="1"/>
    <col min="15293" max="15293" width="4.5" style="342" customWidth="1"/>
    <col min="15294" max="15296" width="10.33203125" style="342" customWidth="1"/>
    <col min="15297" max="15297" width="6.25" style="342" customWidth="1"/>
    <col min="15298" max="15298" width="27.08203125" style="342" customWidth="1"/>
    <col min="15299" max="15299" width="13.5" style="342" customWidth="1"/>
    <col min="15300" max="15300" width="12.58203125" style="342" customWidth="1"/>
    <col min="15301" max="15301" width="17.08203125" style="342" customWidth="1"/>
    <col min="15302" max="15302" width="14.08203125" style="342" customWidth="1"/>
    <col min="15303" max="15303" width="13.75" style="342" customWidth="1"/>
    <col min="15304" max="15304" width="9" style="342" customWidth="1"/>
    <col min="15305" max="15306" width="4.5" style="342" customWidth="1"/>
    <col min="15307" max="15310" width="10.33203125" style="342" customWidth="1"/>
    <col min="15311" max="15311" width="27.08203125" style="342" customWidth="1"/>
    <col min="15312" max="15312" width="13.5" style="342" customWidth="1"/>
    <col min="15313" max="15313" width="12.58203125" style="342" customWidth="1"/>
    <col min="15314" max="15314" width="15.25" style="342" customWidth="1"/>
    <col min="15315" max="15315" width="14.08203125" style="342" customWidth="1"/>
    <col min="15316" max="15316" width="17.75" style="342" customWidth="1"/>
    <col min="15317" max="15317" width="9" style="342" customWidth="1"/>
    <col min="15318" max="15318" width="4.5" style="342" customWidth="1"/>
    <col min="15319" max="15319" width="4.33203125" style="342" customWidth="1"/>
    <col min="15320" max="15323" width="10.33203125" style="342" customWidth="1"/>
    <col min="15324" max="15324" width="27.08203125" style="342" customWidth="1"/>
    <col min="15325" max="15325" width="13.5" style="342" customWidth="1"/>
    <col min="15326" max="15326" width="12.58203125" style="342" customWidth="1"/>
    <col min="15327" max="15327" width="15.25" style="342" customWidth="1"/>
    <col min="15328" max="15328" width="14.08203125" style="342" customWidth="1"/>
    <col min="15329" max="15329" width="16.25" style="342" customWidth="1"/>
    <col min="15330" max="15330" width="9" style="342" customWidth="1"/>
    <col min="15331" max="15331" width="4.5" style="342" customWidth="1"/>
    <col min="15332" max="15332" width="4.08203125" style="342" customWidth="1"/>
    <col min="15333" max="15352" width="10.33203125" style="342" customWidth="1"/>
    <col min="15353" max="15353" width="27.08203125" style="342" bestFit="1" customWidth="1"/>
    <col min="15354" max="15354" width="13.5" style="342" customWidth="1"/>
    <col min="15355" max="15355" width="12.58203125" style="342" customWidth="1"/>
    <col min="15356" max="15356" width="15.25" style="342" customWidth="1"/>
    <col min="15357" max="15357" width="14.08203125" style="342" customWidth="1"/>
    <col min="15358" max="15358" width="17.75" style="342" customWidth="1"/>
    <col min="15359" max="15359" width="9" style="342" customWidth="1"/>
    <col min="15360" max="15360" width="4.5" style="342" customWidth="1"/>
    <col min="15361" max="15361" width="4.08203125" style="342" customWidth="1"/>
    <col min="15362" max="15364" width="10.33203125" style="342" customWidth="1"/>
    <col min="15365" max="15474" width="10.33203125" style="342"/>
    <col min="15475" max="15475" width="3.83203125" style="342" customWidth="1"/>
    <col min="15476" max="15476" width="18.58203125" style="342" customWidth="1"/>
    <col min="15477" max="15477" width="19.75" style="342" customWidth="1"/>
    <col min="15478" max="15478" width="8" style="342" customWidth="1"/>
    <col min="15479" max="15479" width="2.75" style="342" bestFit="1" customWidth="1"/>
    <col min="15480" max="15481" width="6.25" style="342" bestFit="1" customWidth="1"/>
    <col min="15482" max="15482" width="18.83203125" style="342" bestFit="1" customWidth="1"/>
    <col min="15483" max="15483" width="6.83203125" style="342" bestFit="1" customWidth="1"/>
    <col min="15484" max="15484" width="3.25" style="342" customWidth="1"/>
    <col min="15485" max="15485" width="7.5" style="342" customWidth="1"/>
    <col min="15486" max="15486" width="2.75" style="342" bestFit="1" customWidth="1"/>
    <col min="15487" max="15488" width="6.25" style="342" customWidth="1"/>
    <col min="15489" max="15489" width="4.5" style="342" bestFit="1" customWidth="1"/>
    <col min="15490" max="15490" width="11.25" style="342" customWidth="1"/>
    <col min="15491" max="15509" width="10.33203125" style="342" customWidth="1"/>
    <col min="15510" max="15510" width="27.08203125" style="342" customWidth="1"/>
    <col min="15511" max="15511" width="13.5" style="342" customWidth="1"/>
    <col min="15512" max="15512" width="12.58203125" style="342" customWidth="1"/>
    <col min="15513" max="15513" width="12.75" style="342" customWidth="1"/>
    <col min="15514" max="15514" width="14.08203125" style="342" customWidth="1"/>
    <col min="15515" max="15515" width="13.75" style="342" customWidth="1"/>
    <col min="15516" max="15516" width="9" style="342" customWidth="1"/>
    <col min="15517" max="15517" width="4.5" style="342" customWidth="1"/>
    <col min="15518" max="15520" width="10.33203125" style="342" customWidth="1"/>
    <col min="15521" max="15521" width="6.83203125" style="342" customWidth="1"/>
    <col min="15522" max="15541" width="10.33203125" style="342" customWidth="1"/>
    <col min="15542" max="15542" width="27.08203125" style="342" customWidth="1"/>
    <col min="15543" max="15543" width="13.5" style="342" customWidth="1"/>
    <col min="15544" max="15544" width="12.58203125" style="342" customWidth="1"/>
    <col min="15545" max="15545" width="12.75" style="342" customWidth="1"/>
    <col min="15546" max="15546" width="14.08203125" style="342" customWidth="1"/>
    <col min="15547" max="15547" width="13.75" style="342" customWidth="1"/>
    <col min="15548" max="15548" width="9" style="342" customWidth="1"/>
    <col min="15549" max="15549" width="4.5" style="342" customWidth="1"/>
    <col min="15550" max="15552" width="10.33203125" style="342" customWidth="1"/>
    <col min="15553" max="15553" width="6.25" style="342" customWidth="1"/>
    <col min="15554" max="15554" width="27.08203125" style="342" customWidth="1"/>
    <col min="15555" max="15555" width="13.5" style="342" customWidth="1"/>
    <col min="15556" max="15556" width="12.58203125" style="342" customWidth="1"/>
    <col min="15557" max="15557" width="17.08203125" style="342" customWidth="1"/>
    <col min="15558" max="15558" width="14.08203125" style="342" customWidth="1"/>
    <col min="15559" max="15559" width="13.75" style="342" customWidth="1"/>
    <col min="15560" max="15560" width="9" style="342" customWidth="1"/>
    <col min="15561" max="15562" width="4.5" style="342" customWidth="1"/>
    <col min="15563" max="15566" width="10.33203125" style="342" customWidth="1"/>
    <col min="15567" max="15567" width="27.08203125" style="342" customWidth="1"/>
    <col min="15568" max="15568" width="13.5" style="342" customWidth="1"/>
    <col min="15569" max="15569" width="12.58203125" style="342" customWidth="1"/>
    <col min="15570" max="15570" width="15.25" style="342" customWidth="1"/>
    <col min="15571" max="15571" width="14.08203125" style="342" customWidth="1"/>
    <col min="15572" max="15572" width="17.75" style="342" customWidth="1"/>
    <col min="15573" max="15573" width="9" style="342" customWidth="1"/>
    <col min="15574" max="15574" width="4.5" style="342" customWidth="1"/>
    <col min="15575" max="15575" width="4.33203125" style="342" customWidth="1"/>
    <col min="15576" max="15579" width="10.33203125" style="342" customWidth="1"/>
    <col min="15580" max="15580" width="27.08203125" style="342" customWidth="1"/>
    <col min="15581" max="15581" width="13.5" style="342" customWidth="1"/>
    <col min="15582" max="15582" width="12.58203125" style="342" customWidth="1"/>
    <col min="15583" max="15583" width="15.25" style="342" customWidth="1"/>
    <col min="15584" max="15584" width="14.08203125" style="342" customWidth="1"/>
    <col min="15585" max="15585" width="16.25" style="342" customWidth="1"/>
    <col min="15586" max="15586" width="9" style="342" customWidth="1"/>
    <col min="15587" max="15587" width="4.5" style="342" customWidth="1"/>
    <col min="15588" max="15588" width="4.08203125" style="342" customWidth="1"/>
    <col min="15589" max="15608" width="10.33203125" style="342" customWidth="1"/>
    <col min="15609" max="15609" width="27.08203125" style="342" bestFit="1" customWidth="1"/>
    <col min="15610" max="15610" width="13.5" style="342" customWidth="1"/>
    <col min="15611" max="15611" width="12.58203125" style="342" customWidth="1"/>
    <col min="15612" max="15612" width="15.25" style="342" customWidth="1"/>
    <col min="15613" max="15613" width="14.08203125" style="342" customWidth="1"/>
    <col min="15614" max="15614" width="17.75" style="342" customWidth="1"/>
    <col min="15615" max="15615" width="9" style="342" customWidth="1"/>
    <col min="15616" max="15616" width="4.5" style="342" customWidth="1"/>
    <col min="15617" max="15617" width="4.08203125" style="342" customWidth="1"/>
    <col min="15618" max="15620" width="10.33203125" style="342" customWidth="1"/>
    <col min="15621" max="15730" width="10.33203125" style="342"/>
    <col min="15731" max="15731" width="3.83203125" style="342" customWidth="1"/>
    <col min="15732" max="15732" width="18.58203125" style="342" customWidth="1"/>
    <col min="15733" max="15733" width="19.75" style="342" customWidth="1"/>
    <col min="15734" max="15734" width="8" style="342" customWidth="1"/>
    <col min="15735" max="15735" width="2.75" style="342" bestFit="1" customWidth="1"/>
    <col min="15736" max="15737" width="6.25" style="342" bestFit="1" customWidth="1"/>
    <col min="15738" max="15738" width="18.83203125" style="342" bestFit="1" customWidth="1"/>
    <col min="15739" max="15739" width="6.83203125" style="342" bestFit="1" customWidth="1"/>
    <col min="15740" max="15740" width="3.25" style="342" customWidth="1"/>
    <col min="15741" max="15741" width="7.5" style="342" customWidth="1"/>
    <col min="15742" max="15742" width="2.75" style="342" bestFit="1" customWidth="1"/>
    <col min="15743" max="15744" width="6.25" style="342" customWidth="1"/>
    <col min="15745" max="15745" width="4.5" style="342" bestFit="1" customWidth="1"/>
    <col min="15746" max="15746" width="11.25" style="342" customWidth="1"/>
    <col min="15747" max="15765" width="10.33203125" style="342" customWidth="1"/>
    <col min="15766" max="15766" width="27.08203125" style="342" customWidth="1"/>
    <col min="15767" max="15767" width="13.5" style="342" customWidth="1"/>
    <col min="15768" max="15768" width="12.58203125" style="342" customWidth="1"/>
    <col min="15769" max="15769" width="12.75" style="342" customWidth="1"/>
    <col min="15770" max="15770" width="14.08203125" style="342" customWidth="1"/>
    <col min="15771" max="15771" width="13.75" style="342" customWidth="1"/>
    <col min="15772" max="15772" width="9" style="342" customWidth="1"/>
    <col min="15773" max="15773" width="4.5" style="342" customWidth="1"/>
    <col min="15774" max="15776" width="10.33203125" style="342" customWidth="1"/>
    <col min="15777" max="15777" width="6.83203125" style="342" customWidth="1"/>
    <col min="15778" max="15797" width="10.33203125" style="342" customWidth="1"/>
    <col min="15798" max="15798" width="27.08203125" style="342" customWidth="1"/>
    <col min="15799" max="15799" width="13.5" style="342" customWidth="1"/>
    <col min="15800" max="15800" width="12.58203125" style="342" customWidth="1"/>
    <col min="15801" max="15801" width="12.75" style="342" customWidth="1"/>
    <col min="15802" max="15802" width="14.08203125" style="342" customWidth="1"/>
    <col min="15803" max="15803" width="13.75" style="342" customWidth="1"/>
    <col min="15804" max="15804" width="9" style="342" customWidth="1"/>
    <col min="15805" max="15805" width="4.5" style="342" customWidth="1"/>
    <col min="15806" max="15808" width="10.33203125" style="342" customWidth="1"/>
    <col min="15809" max="15809" width="6.25" style="342" customWidth="1"/>
    <col min="15810" max="15810" width="27.08203125" style="342" customWidth="1"/>
    <col min="15811" max="15811" width="13.5" style="342" customWidth="1"/>
    <col min="15812" max="15812" width="12.58203125" style="342" customWidth="1"/>
    <col min="15813" max="15813" width="17.08203125" style="342" customWidth="1"/>
    <col min="15814" max="15814" width="14.08203125" style="342" customWidth="1"/>
    <col min="15815" max="15815" width="13.75" style="342" customWidth="1"/>
    <col min="15816" max="15816" width="9" style="342" customWidth="1"/>
    <col min="15817" max="15818" width="4.5" style="342" customWidth="1"/>
    <col min="15819" max="15822" width="10.33203125" style="342" customWidth="1"/>
    <col min="15823" max="15823" width="27.08203125" style="342" customWidth="1"/>
    <col min="15824" max="15824" width="13.5" style="342" customWidth="1"/>
    <col min="15825" max="15825" width="12.58203125" style="342" customWidth="1"/>
    <col min="15826" max="15826" width="15.25" style="342" customWidth="1"/>
    <col min="15827" max="15827" width="14.08203125" style="342" customWidth="1"/>
    <col min="15828" max="15828" width="17.75" style="342" customWidth="1"/>
    <col min="15829" max="15829" width="9" style="342" customWidth="1"/>
    <col min="15830" max="15830" width="4.5" style="342" customWidth="1"/>
    <col min="15831" max="15831" width="4.33203125" style="342" customWidth="1"/>
    <col min="15832" max="15835" width="10.33203125" style="342" customWidth="1"/>
    <col min="15836" max="15836" width="27.08203125" style="342" customWidth="1"/>
    <col min="15837" max="15837" width="13.5" style="342" customWidth="1"/>
    <col min="15838" max="15838" width="12.58203125" style="342" customWidth="1"/>
    <col min="15839" max="15839" width="15.25" style="342" customWidth="1"/>
    <col min="15840" max="15840" width="14.08203125" style="342" customWidth="1"/>
    <col min="15841" max="15841" width="16.25" style="342" customWidth="1"/>
    <col min="15842" max="15842" width="9" style="342" customWidth="1"/>
    <col min="15843" max="15843" width="4.5" style="342" customWidth="1"/>
    <col min="15844" max="15844" width="4.08203125" style="342" customWidth="1"/>
    <col min="15845" max="15864" width="10.33203125" style="342" customWidth="1"/>
    <col min="15865" max="15865" width="27.08203125" style="342" bestFit="1" customWidth="1"/>
    <col min="15866" max="15866" width="13.5" style="342" customWidth="1"/>
    <col min="15867" max="15867" width="12.58203125" style="342" customWidth="1"/>
    <col min="15868" max="15868" width="15.25" style="342" customWidth="1"/>
    <col min="15869" max="15869" width="14.08203125" style="342" customWidth="1"/>
    <col min="15870" max="15870" width="17.75" style="342" customWidth="1"/>
    <col min="15871" max="15871" width="9" style="342" customWidth="1"/>
    <col min="15872" max="15872" width="4.5" style="342" customWidth="1"/>
    <col min="15873" max="15873" width="4.08203125" style="342" customWidth="1"/>
    <col min="15874" max="15876" width="10.33203125" style="342" customWidth="1"/>
    <col min="15877" max="15986" width="10.33203125" style="342"/>
    <col min="15987" max="15987" width="3.83203125" style="342" customWidth="1"/>
    <col min="15988" max="15988" width="18.58203125" style="342" customWidth="1"/>
    <col min="15989" max="15989" width="19.75" style="342" customWidth="1"/>
    <col min="15990" max="15990" width="8" style="342" customWidth="1"/>
    <col min="15991" max="15991" width="2.75" style="342" bestFit="1" customWidth="1"/>
    <col min="15992" max="15993" width="6.25" style="342" bestFit="1" customWidth="1"/>
    <col min="15994" max="15994" width="18.83203125" style="342" bestFit="1" customWidth="1"/>
    <col min="15995" max="15995" width="6.83203125" style="342" bestFit="1" customWidth="1"/>
    <col min="15996" max="15996" width="3.25" style="342" customWidth="1"/>
    <col min="15997" max="15997" width="7.5" style="342" customWidth="1"/>
    <col min="15998" max="15998" width="2.75" style="342" bestFit="1" customWidth="1"/>
    <col min="15999" max="16000" width="6.25" style="342" customWidth="1"/>
    <col min="16001" max="16001" width="4.5" style="342" bestFit="1" customWidth="1"/>
    <col min="16002" max="16002" width="11.25" style="342" customWidth="1"/>
    <col min="16003" max="16021" width="10.33203125" style="342" customWidth="1"/>
    <col min="16022" max="16022" width="27.08203125" style="342" customWidth="1"/>
    <col min="16023" max="16023" width="13.5" style="342" customWidth="1"/>
    <col min="16024" max="16024" width="12.58203125" style="342" customWidth="1"/>
    <col min="16025" max="16025" width="12.75" style="342" customWidth="1"/>
    <col min="16026" max="16026" width="14.08203125" style="342" customWidth="1"/>
    <col min="16027" max="16027" width="13.75" style="342" customWidth="1"/>
    <col min="16028" max="16028" width="9" style="342" customWidth="1"/>
    <col min="16029" max="16029" width="4.5" style="342" customWidth="1"/>
    <col min="16030" max="16032" width="10.33203125" style="342" customWidth="1"/>
    <col min="16033" max="16033" width="6.83203125" style="342" customWidth="1"/>
    <col min="16034" max="16053" width="10.33203125" style="342" customWidth="1"/>
    <col min="16054" max="16054" width="27.08203125" style="342" customWidth="1"/>
    <col min="16055" max="16055" width="13.5" style="342" customWidth="1"/>
    <col min="16056" max="16056" width="12.58203125" style="342" customWidth="1"/>
    <col min="16057" max="16057" width="12.75" style="342" customWidth="1"/>
    <col min="16058" max="16058" width="14.08203125" style="342" customWidth="1"/>
    <col min="16059" max="16059" width="13.75" style="342" customWidth="1"/>
    <col min="16060" max="16060" width="9" style="342" customWidth="1"/>
    <col min="16061" max="16061" width="4.5" style="342" customWidth="1"/>
    <col min="16062" max="16064" width="10.33203125" style="342" customWidth="1"/>
    <col min="16065" max="16065" width="6.25" style="342" customWidth="1"/>
    <col min="16066" max="16066" width="27.08203125" style="342" customWidth="1"/>
    <col min="16067" max="16067" width="13.5" style="342" customWidth="1"/>
    <col min="16068" max="16068" width="12.58203125" style="342" customWidth="1"/>
    <col min="16069" max="16069" width="17.08203125" style="342" customWidth="1"/>
    <col min="16070" max="16070" width="14.08203125" style="342" customWidth="1"/>
    <col min="16071" max="16071" width="13.75" style="342" customWidth="1"/>
    <col min="16072" max="16072" width="9" style="342" customWidth="1"/>
    <col min="16073" max="16074" width="4.5" style="342" customWidth="1"/>
    <col min="16075" max="16078" width="10.33203125" style="342" customWidth="1"/>
    <col min="16079" max="16079" width="27.08203125" style="342" customWidth="1"/>
    <col min="16080" max="16080" width="13.5" style="342" customWidth="1"/>
    <col min="16081" max="16081" width="12.58203125" style="342" customWidth="1"/>
    <col min="16082" max="16082" width="15.25" style="342" customWidth="1"/>
    <col min="16083" max="16083" width="14.08203125" style="342" customWidth="1"/>
    <col min="16084" max="16084" width="17.75" style="342" customWidth="1"/>
    <col min="16085" max="16085" width="9" style="342" customWidth="1"/>
    <col min="16086" max="16086" width="4.5" style="342" customWidth="1"/>
    <col min="16087" max="16087" width="4.33203125" style="342" customWidth="1"/>
    <col min="16088" max="16091" width="10.33203125" style="342" customWidth="1"/>
    <col min="16092" max="16092" width="27.08203125" style="342" customWidth="1"/>
    <col min="16093" max="16093" width="13.5" style="342" customWidth="1"/>
    <col min="16094" max="16094" width="12.58203125" style="342" customWidth="1"/>
    <col min="16095" max="16095" width="15.25" style="342" customWidth="1"/>
    <col min="16096" max="16096" width="14.08203125" style="342" customWidth="1"/>
    <col min="16097" max="16097" width="16.25" style="342" customWidth="1"/>
    <col min="16098" max="16098" width="9" style="342" customWidth="1"/>
    <col min="16099" max="16099" width="4.5" style="342" customWidth="1"/>
    <col min="16100" max="16100" width="4.08203125" style="342" customWidth="1"/>
    <col min="16101" max="16120" width="10.33203125" style="342" customWidth="1"/>
    <col min="16121" max="16121" width="27.08203125" style="342" bestFit="1" customWidth="1"/>
    <col min="16122" max="16122" width="13.5" style="342" customWidth="1"/>
    <col min="16123" max="16123" width="12.58203125" style="342" customWidth="1"/>
    <col min="16124" max="16124" width="15.25" style="342" customWidth="1"/>
    <col min="16125" max="16125" width="14.08203125" style="342" customWidth="1"/>
    <col min="16126" max="16126" width="17.75" style="342" customWidth="1"/>
    <col min="16127" max="16127" width="9" style="342" customWidth="1"/>
    <col min="16128" max="16128" width="4.5" style="342" customWidth="1"/>
    <col min="16129" max="16129" width="4.08203125" style="342" customWidth="1"/>
    <col min="16130" max="16132" width="10.33203125" style="342" customWidth="1"/>
    <col min="16133" max="16384" width="11.25" style="342"/>
  </cols>
  <sheetData>
    <row r="1" spans="1:49" x14ac:dyDescent="0.25">
      <c r="A1" s="429" t="s">
        <v>167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</row>
    <row r="2" spans="1:49" ht="15.75" customHeight="1" x14ac:dyDescent="0.25">
      <c r="A2" s="429"/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49" ht="15.75" customHeight="1" x14ac:dyDescent="0.25">
      <c r="A3" s="429"/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49" ht="66" customHeight="1" thickBot="1" x14ac:dyDescent="0.3">
      <c r="A4" s="429"/>
      <c r="B4" s="429"/>
      <c r="C4" s="429"/>
      <c r="D4" s="429"/>
      <c r="E4" s="429"/>
      <c r="F4" s="429"/>
      <c r="G4" s="429"/>
      <c r="H4" s="429"/>
      <c r="I4" s="429"/>
      <c r="J4" s="429"/>
      <c r="K4" s="429"/>
      <c r="L4" s="429"/>
    </row>
    <row r="5" spans="1:49" s="352" customFormat="1" ht="83.5" customHeight="1" thickBot="1" x14ac:dyDescent="0.3">
      <c r="A5" s="346"/>
      <c r="B5" s="347" t="s">
        <v>137</v>
      </c>
      <c r="C5" s="347" t="s">
        <v>3</v>
      </c>
      <c r="D5" s="348" t="s">
        <v>165</v>
      </c>
      <c r="E5" s="436" t="s">
        <v>152</v>
      </c>
      <c r="F5" s="437"/>
      <c r="G5" s="437"/>
      <c r="H5" s="437"/>
      <c r="I5" s="437"/>
      <c r="J5" s="437"/>
      <c r="K5" s="437"/>
      <c r="L5" s="438"/>
      <c r="M5" s="349" t="s">
        <v>11</v>
      </c>
      <c r="N5" s="350"/>
      <c r="O5" s="343">
        <f>K29*30/70</f>
        <v>0</v>
      </c>
      <c r="P5" s="344"/>
      <c r="Q5" s="351"/>
      <c r="R5" s="351"/>
      <c r="S5" s="351"/>
      <c r="T5" s="351"/>
      <c r="U5" s="351"/>
      <c r="V5" s="351"/>
      <c r="W5" s="351"/>
      <c r="X5" s="351"/>
      <c r="Y5" s="351"/>
      <c r="Z5" s="351"/>
      <c r="AA5" s="351"/>
      <c r="AB5" s="351"/>
      <c r="AC5" s="351"/>
      <c r="AD5" s="351"/>
      <c r="AE5" s="351"/>
      <c r="AF5" s="351"/>
      <c r="AG5" s="351"/>
      <c r="AH5" s="351"/>
      <c r="AI5" s="351"/>
      <c r="AJ5" s="351"/>
      <c r="AK5" s="351"/>
      <c r="AL5" s="351"/>
      <c r="AM5" s="351"/>
      <c r="AN5" s="351"/>
      <c r="AO5" s="351"/>
      <c r="AP5" s="351"/>
      <c r="AQ5" s="351"/>
      <c r="AR5" s="351"/>
      <c r="AS5" s="351"/>
      <c r="AT5" s="351"/>
      <c r="AU5" s="351"/>
      <c r="AV5" s="351"/>
      <c r="AW5" s="351"/>
    </row>
    <row r="6" spans="1:49" ht="19.899999999999999" customHeight="1" x14ac:dyDescent="0.35">
      <c r="A6" s="441" t="s">
        <v>172</v>
      </c>
      <c r="B6" s="353" t="s">
        <v>23</v>
      </c>
      <c r="C6" s="83"/>
      <c r="D6" s="354" t="s">
        <v>22</v>
      </c>
      <c r="E6" s="425" t="s">
        <v>148</v>
      </c>
      <c r="F6" s="425"/>
      <c r="G6" s="425"/>
      <c r="H6" s="425"/>
      <c r="I6" s="425"/>
      <c r="J6" s="425"/>
      <c r="K6" s="425"/>
      <c r="L6" s="426"/>
      <c r="M6" s="355" t="s">
        <v>24</v>
      </c>
      <c r="N6" s="356"/>
      <c r="O6" s="343">
        <f>F34</f>
        <v>0</v>
      </c>
    </row>
    <row r="7" spans="1:49" ht="21.65" customHeight="1" thickBot="1" x14ac:dyDescent="0.4">
      <c r="A7" s="442"/>
      <c r="B7" s="357" t="s">
        <v>28</v>
      </c>
      <c r="C7" s="83"/>
      <c r="D7" s="358" t="s">
        <v>22</v>
      </c>
      <c r="E7" s="439"/>
      <c r="F7" s="439"/>
      <c r="G7" s="439"/>
      <c r="H7" s="439"/>
      <c r="I7" s="439"/>
      <c r="J7" s="439"/>
      <c r="K7" s="439"/>
      <c r="L7" s="440"/>
      <c r="M7" s="355" t="s">
        <v>29</v>
      </c>
      <c r="N7" s="356"/>
      <c r="O7" s="343" t="e">
        <f>IF((K29*100/J8)&gt;70,100-(K29*100/J8),30)</f>
        <v>#VALUE!</v>
      </c>
    </row>
    <row r="8" spans="1:49" ht="30" customHeight="1" thickBot="1" x14ac:dyDescent="0.4">
      <c r="A8" s="442"/>
      <c r="B8" s="357" t="s">
        <v>132</v>
      </c>
      <c r="C8" s="83"/>
      <c r="D8" s="358" t="s">
        <v>22</v>
      </c>
      <c r="E8" s="420" t="s">
        <v>92</v>
      </c>
      <c r="F8" s="420"/>
      <c r="G8" s="420"/>
      <c r="H8" s="420"/>
      <c r="I8" s="420"/>
      <c r="J8" s="422" t="str">
        <f>IF(F41&lt;=1.5,"!!!!!!!!!!!",IF(AND(F41&lt;1.5,F28=50/100*F41),F41,K29+K33+K37))</f>
        <v>!!!!!!!!!!!</v>
      </c>
      <c r="K8" s="423"/>
      <c r="L8" s="424"/>
      <c r="M8" s="355"/>
      <c r="N8" s="356"/>
    </row>
    <row r="9" spans="1:49" ht="23.5" customHeight="1" thickBot="1" x14ac:dyDescent="0.4">
      <c r="A9" s="442"/>
      <c r="B9" s="357" t="s">
        <v>36</v>
      </c>
      <c r="C9" s="83"/>
      <c r="D9" s="358" t="s">
        <v>22</v>
      </c>
      <c r="E9" s="420" t="s">
        <v>95</v>
      </c>
      <c r="F9" s="420"/>
      <c r="G9" s="420"/>
      <c r="H9" s="420"/>
      <c r="I9" s="420"/>
      <c r="J9" s="422" t="str">
        <f>IF(F41&lt;=1.5,"!!!!!!!!!!!",K41)</f>
        <v>!!!!!!!!!!!</v>
      </c>
      <c r="K9" s="423"/>
      <c r="L9" s="424"/>
      <c r="M9" s="355" t="s">
        <v>35</v>
      </c>
      <c r="N9" s="356"/>
      <c r="O9" s="359">
        <f>IF(F34&gt;O5,O5,F34)</f>
        <v>0</v>
      </c>
    </row>
    <row r="10" spans="1:49" ht="20.5" customHeight="1" thickBot="1" x14ac:dyDescent="0.4">
      <c r="A10" s="442"/>
      <c r="B10" s="357" t="s">
        <v>34</v>
      </c>
      <c r="C10" s="83"/>
      <c r="D10" s="358" t="s">
        <v>22</v>
      </c>
      <c r="E10" s="450" t="s">
        <v>97</v>
      </c>
      <c r="F10" s="450"/>
      <c r="G10" s="450"/>
      <c r="H10" s="450"/>
      <c r="I10" s="451"/>
      <c r="J10" s="452" t="str">
        <f>IF(F41&lt;=1.5,"!!!!!!!!!!!",K31+K35)</f>
        <v>!!!!!!!!!!!</v>
      </c>
      <c r="K10" s="453"/>
      <c r="L10" s="454"/>
      <c r="M10" s="355"/>
      <c r="N10" s="356"/>
    </row>
    <row r="11" spans="1:49" ht="21" customHeight="1" thickBot="1" x14ac:dyDescent="0.4">
      <c r="A11" s="442"/>
      <c r="B11" s="360" t="s">
        <v>37</v>
      </c>
      <c r="C11" s="361">
        <f>SUM(C6:C10)</f>
        <v>0</v>
      </c>
      <c r="D11" s="362"/>
      <c r="E11" s="363"/>
      <c r="F11" s="363"/>
      <c r="G11" s="363"/>
      <c r="H11" s="363"/>
      <c r="I11" s="363"/>
      <c r="J11" s="363"/>
      <c r="K11" s="363"/>
      <c r="L11" s="363"/>
      <c r="M11" s="364" t="s">
        <v>44</v>
      </c>
      <c r="N11" s="356"/>
      <c r="O11" s="343">
        <f>IF(O9=O5,0,IF(O9&lt;(K29*10/70),K29*20/70,IF(O9=(K29*10/70),K29*20/70,IF(O9&gt;(K29*10/70),(K29*30/70)-O9,0))))</f>
        <v>0</v>
      </c>
    </row>
    <row r="12" spans="1:49" ht="21" customHeight="1" x14ac:dyDescent="0.35">
      <c r="A12" s="442"/>
      <c r="B12" s="365" t="s">
        <v>46</v>
      </c>
      <c r="C12" s="84"/>
      <c r="D12" s="358" t="s">
        <v>22</v>
      </c>
      <c r="E12" s="446" t="s">
        <v>168</v>
      </c>
      <c r="F12" s="446"/>
      <c r="G12" s="446"/>
      <c r="H12" s="446"/>
      <c r="I12" s="446"/>
      <c r="J12" s="446"/>
      <c r="K12" s="446"/>
      <c r="L12" s="447"/>
      <c r="M12" s="364" t="s">
        <v>48</v>
      </c>
      <c r="N12" s="356"/>
      <c r="O12" s="343">
        <f>IF(O11&lt;F38+F37+F39+F36,O11,F38+F37+F39+F36)</f>
        <v>0</v>
      </c>
    </row>
    <row r="13" spans="1:49" ht="18.649999999999999" customHeight="1" thickBot="1" x14ac:dyDescent="0.4">
      <c r="A13" s="442"/>
      <c r="B13" s="365" t="s">
        <v>133</v>
      </c>
      <c r="C13" s="84"/>
      <c r="D13" s="358" t="s">
        <v>22</v>
      </c>
      <c r="E13" s="448"/>
      <c r="F13" s="448"/>
      <c r="G13" s="448"/>
      <c r="H13" s="448"/>
      <c r="I13" s="448"/>
      <c r="J13" s="448"/>
      <c r="K13" s="448"/>
      <c r="L13" s="449"/>
      <c r="M13" s="364"/>
      <c r="N13" s="356"/>
    </row>
    <row r="14" spans="1:49" ht="19.149999999999999" customHeight="1" x14ac:dyDescent="0.35">
      <c r="A14" s="442"/>
      <c r="B14" s="366" t="s">
        <v>134</v>
      </c>
      <c r="C14" s="84"/>
      <c r="D14" s="358" t="s">
        <v>22</v>
      </c>
      <c r="E14" s="425" t="str">
        <f>CONCATENATE("Règles d'encépagement et potentiel de production : ",B2)</f>
        <v xml:space="preserve">Règles d'encépagement et potentiel de production : </v>
      </c>
      <c r="F14" s="425"/>
      <c r="G14" s="425"/>
      <c r="H14" s="425"/>
      <c r="I14" s="425"/>
      <c r="J14" s="425"/>
      <c r="K14" s="425"/>
      <c r="L14" s="426"/>
      <c r="M14" s="367" t="s">
        <v>55</v>
      </c>
      <c r="N14" s="356"/>
      <c r="O14" s="368">
        <f>IF(O12=0,0,O12*100/O16)</f>
        <v>0</v>
      </c>
      <c r="P14" s="369"/>
    </row>
    <row r="15" spans="1:49" ht="18" customHeight="1" thickBot="1" x14ac:dyDescent="0.4">
      <c r="A15" s="442"/>
      <c r="B15" s="365" t="s">
        <v>63</v>
      </c>
      <c r="C15" s="84"/>
      <c r="D15" s="358" t="s">
        <v>22</v>
      </c>
      <c r="E15" s="427"/>
      <c r="F15" s="427"/>
      <c r="G15" s="427"/>
      <c r="H15" s="427"/>
      <c r="I15" s="427"/>
      <c r="J15" s="427"/>
      <c r="K15" s="427"/>
      <c r="L15" s="428"/>
      <c r="M15" s="367" t="s">
        <v>59</v>
      </c>
      <c r="N15" s="356"/>
      <c r="O15" s="359">
        <f>IF(O12=0,0,IF(O14&gt;20,0.25*O16-0.25*O12,O12))</f>
        <v>0</v>
      </c>
    </row>
    <row r="16" spans="1:49" ht="20.5" customHeight="1" thickBot="1" x14ac:dyDescent="0.4">
      <c r="A16" s="442"/>
      <c r="B16" s="370" t="s">
        <v>54</v>
      </c>
      <c r="C16" s="361">
        <f>SUM(C12:C15)</f>
        <v>0</v>
      </c>
      <c r="D16" s="362"/>
      <c r="E16" s="420" t="s">
        <v>99</v>
      </c>
      <c r="F16" s="420"/>
      <c r="G16" s="420"/>
      <c r="H16" s="420"/>
      <c r="I16" s="420"/>
      <c r="J16" s="422">
        <f>IF(F41&lt;1.5,O38+O39,"")</f>
        <v>0</v>
      </c>
      <c r="K16" s="423"/>
      <c r="L16" s="424"/>
      <c r="M16" s="367" t="s">
        <v>64</v>
      </c>
      <c r="N16" s="356"/>
      <c r="O16" s="343">
        <f>K29+K33+O12</f>
        <v>0</v>
      </c>
    </row>
    <row r="17" spans="1:16" ht="21" customHeight="1" thickBot="1" x14ac:dyDescent="0.4">
      <c r="A17" s="442"/>
      <c r="B17" s="371" t="s">
        <v>135</v>
      </c>
      <c r="C17" s="83"/>
      <c r="D17" s="358" t="s">
        <v>22</v>
      </c>
      <c r="E17" s="420" t="s">
        <v>95</v>
      </c>
      <c r="F17" s="420"/>
      <c r="G17" s="420"/>
      <c r="H17" s="420"/>
      <c r="I17" s="457"/>
      <c r="J17" s="422">
        <f>IF(F41&lt;1.5,O44,"")</f>
        <v>0</v>
      </c>
      <c r="K17" s="423"/>
      <c r="L17" s="424"/>
      <c r="M17" s="367" t="s">
        <v>68</v>
      </c>
      <c r="N17" s="372"/>
      <c r="O17" s="343">
        <f>K29+K33+O15</f>
        <v>0</v>
      </c>
    </row>
    <row r="18" spans="1:16" ht="21" customHeight="1" thickBot="1" x14ac:dyDescent="0.4">
      <c r="A18" s="442"/>
      <c r="B18" s="373" t="s">
        <v>136</v>
      </c>
      <c r="C18" s="83"/>
      <c r="D18" s="358" t="s">
        <v>22</v>
      </c>
      <c r="E18" s="450" t="s">
        <v>67</v>
      </c>
      <c r="F18" s="450"/>
      <c r="G18" s="450"/>
      <c r="H18" s="450"/>
      <c r="I18" s="451"/>
      <c r="J18" s="452">
        <f>IF(F41&lt;1.5,O41,"")</f>
        <v>0</v>
      </c>
      <c r="K18" s="453"/>
      <c r="L18" s="454"/>
      <c r="M18" s="364"/>
      <c r="N18" s="372"/>
      <c r="O18" s="374"/>
    </row>
    <row r="19" spans="1:16" ht="22.15" customHeight="1" thickBot="1" x14ac:dyDescent="0.4">
      <c r="A19" s="443" t="s">
        <v>170</v>
      </c>
      <c r="B19" s="373" t="s">
        <v>72</v>
      </c>
      <c r="C19" s="83"/>
      <c r="D19" s="358" t="s">
        <v>22</v>
      </c>
      <c r="E19" s="375"/>
      <c r="F19" s="375"/>
      <c r="G19" s="375"/>
      <c r="H19" s="375"/>
      <c r="I19" s="375"/>
      <c r="J19" s="375"/>
      <c r="K19" s="375"/>
      <c r="L19" s="376"/>
      <c r="M19" s="377" t="s">
        <v>74</v>
      </c>
      <c r="N19" s="372"/>
      <c r="O19" s="343">
        <f>(F37+F38+F39)-(1/0.9)*(F37+F38+F39)+(0.1/0.9)*(K29+K33+F37+F38+F39+F36)</f>
        <v>0</v>
      </c>
    </row>
    <row r="20" spans="1:16" ht="22.9" customHeight="1" x14ac:dyDescent="0.35">
      <c r="A20" s="444"/>
      <c r="B20" s="378" t="s">
        <v>75</v>
      </c>
      <c r="C20" s="85"/>
      <c r="D20" s="358" t="s">
        <v>22</v>
      </c>
      <c r="E20" s="425" t="s">
        <v>153</v>
      </c>
      <c r="F20" s="425"/>
      <c r="G20" s="425"/>
      <c r="H20" s="425"/>
      <c r="I20" s="425"/>
      <c r="J20" s="425"/>
      <c r="K20" s="425"/>
      <c r="L20" s="426"/>
      <c r="M20" s="367" t="s">
        <v>78</v>
      </c>
      <c r="N20" s="372"/>
      <c r="O20" s="374">
        <f>IF(O19=0,0,IF(F37+F38+F39&gt;O19,O19,F37+F38+F39))</f>
        <v>0</v>
      </c>
    </row>
    <row r="21" spans="1:16" ht="29.5" customHeight="1" thickBot="1" x14ac:dyDescent="0.4">
      <c r="A21" s="379">
        <f>C11+C16+C21</f>
        <v>0</v>
      </c>
      <c r="B21" s="380" t="s">
        <v>80</v>
      </c>
      <c r="C21" s="381">
        <f>SUM(C17:C20)</f>
        <v>0</v>
      </c>
      <c r="D21" s="382"/>
      <c r="E21" s="427"/>
      <c r="F21" s="427"/>
      <c r="G21" s="427"/>
      <c r="H21" s="427"/>
      <c r="I21" s="427"/>
      <c r="J21" s="427"/>
      <c r="K21" s="427"/>
      <c r="L21" s="428"/>
      <c r="M21" s="367" t="s">
        <v>81</v>
      </c>
      <c r="N21" s="372"/>
      <c r="O21" s="374">
        <f>IF(O20&gt;O15,O15,O20)</f>
        <v>0</v>
      </c>
    </row>
    <row r="22" spans="1:16" ht="52.15" customHeight="1" thickBot="1" x14ac:dyDescent="0.4">
      <c r="A22" s="383" t="s">
        <v>166</v>
      </c>
      <c r="B22" s="305" t="s">
        <v>147</v>
      </c>
      <c r="C22" s="384"/>
      <c r="D22" s="385"/>
      <c r="E22" s="333" t="s">
        <v>4</v>
      </c>
      <c r="F22" s="334" t="s">
        <v>5</v>
      </c>
      <c r="G22" s="334" t="s">
        <v>6</v>
      </c>
      <c r="H22" s="334" t="s">
        <v>7</v>
      </c>
      <c r="I22" s="334" t="s">
        <v>8</v>
      </c>
      <c r="J22" s="334" t="s">
        <v>9</v>
      </c>
      <c r="K22" s="465" t="s">
        <v>10</v>
      </c>
      <c r="L22" s="465"/>
      <c r="M22" s="367" t="s">
        <v>84</v>
      </c>
      <c r="N22" s="372"/>
      <c r="O22" s="386">
        <f>O15-O21</f>
        <v>0</v>
      </c>
      <c r="P22" s="369"/>
    </row>
    <row r="23" spans="1:16" ht="24.65" customHeight="1" x14ac:dyDescent="0.35">
      <c r="A23" s="387"/>
      <c r="B23" s="388" t="s">
        <v>23</v>
      </c>
      <c r="C23" s="83"/>
      <c r="D23" s="354" t="str">
        <f>B$22</f>
        <v>Pas de DGC</v>
      </c>
      <c r="E23" s="335" t="s">
        <v>23</v>
      </c>
      <c r="F23" s="336">
        <f>SUMIFS($C$6:$C$20,$B$6:$B$20,"GRENACHE N",$D$6:$D$20,"AOC")</f>
        <v>0</v>
      </c>
      <c r="G23" s="337">
        <f>F23/($F$41+0.00001)</f>
        <v>0</v>
      </c>
      <c r="H23" s="336">
        <f>IF(G23&lt;90%,F23,9*(F24+F25+F26+F27))</f>
        <v>0</v>
      </c>
      <c r="I23" s="337" t="e">
        <f>K23/(J$8+0.00001)</f>
        <v>#VALUE!</v>
      </c>
      <c r="J23" s="336">
        <f>IF(OR($H$23=$F$28,$H$24=$F$28,$H$25=$F$28,$H$26=$F$28,$H$27=$F$28,G23=100%),0,H23)</f>
        <v>0</v>
      </c>
      <c r="K23" s="421">
        <f>J23</f>
        <v>0</v>
      </c>
      <c r="L23" s="421"/>
      <c r="M23" s="367" t="s">
        <v>87</v>
      </c>
      <c r="N23" s="372"/>
      <c r="O23" s="374">
        <f>IF(F36=0,0,IF(F36&gt;O22,O22,F36))</f>
        <v>0</v>
      </c>
    </row>
    <row r="24" spans="1:16" ht="24" customHeight="1" x14ac:dyDescent="0.35">
      <c r="A24" s="445" t="s">
        <v>169</v>
      </c>
      <c r="B24" s="389" t="s">
        <v>28</v>
      </c>
      <c r="C24" s="83"/>
      <c r="D24" s="358" t="str">
        <f t="shared" ref="D24:D33" si="0">B$22</f>
        <v>Pas de DGC</v>
      </c>
      <c r="E24" s="335" t="s">
        <v>28</v>
      </c>
      <c r="F24" s="336">
        <f>SUMIFS(C$6:C$20,B$6:B$20,"SYRAH N",D$6:D$20,"AOC")</f>
        <v>0</v>
      </c>
      <c r="G24" s="337">
        <f>F24/($F$41+0.00001)</f>
        <v>0</v>
      </c>
      <c r="H24" s="336">
        <f>IF(G24&lt;90%,F24,9*(F25+F26+F27+F23))</f>
        <v>0</v>
      </c>
      <c r="I24" s="337" t="e">
        <f>K24/(J$8+0.00001)</f>
        <v>#VALUE!</v>
      </c>
      <c r="J24" s="336">
        <f>IF(OR($H$23=$F$28,$H$24=$F$28,$H$25=$F$28,$H$26=$F$28,$H$27=$F$28,G24=100%),0,H24)</f>
        <v>0</v>
      </c>
      <c r="K24" s="421">
        <f>J24</f>
        <v>0</v>
      </c>
      <c r="L24" s="421"/>
      <c r="M24" s="367" t="s">
        <v>90</v>
      </c>
      <c r="O24" s="374">
        <f>O23+O21</f>
        <v>0</v>
      </c>
    </row>
    <row r="25" spans="1:16" ht="22.15" customHeight="1" x14ac:dyDescent="0.35">
      <c r="A25" s="445"/>
      <c r="B25" s="389" t="s">
        <v>132</v>
      </c>
      <c r="C25" s="83"/>
      <c r="D25" s="358" t="str">
        <f t="shared" si="0"/>
        <v>Pas de DGC</v>
      </c>
      <c r="E25" s="335" t="s">
        <v>33</v>
      </c>
      <c r="F25" s="336">
        <f>SUMIFS(C$6:C$20,B$6:B$20,"MOURVED.N",D$6:D$20,"AOC")</f>
        <v>0</v>
      </c>
      <c r="G25" s="337">
        <f>F25/($F$41+0.00001)</f>
        <v>0</v>
      </c>
      <c r="H25" s="336">
        <f>IF(G25&lt;90%,F25,9*(F26+F27+F24+F23))</f>
        <v>0</v>
      </c>
      <c r="I25" s="337" t="e">
        <f>K25/(J$8+0.00001)</f>
        <v>#VALUE!</v>
      </c>
      <c r="J25" s="336">
        <f>IF(OR($H$23=$F$28,$H$24=$F$28,$H$25=$F$28,$H$26=$F$28,$H$27=$F$28,G25=100%),0,H25)</f>
        <v>0</v>
      </c>
      <c r="K25" s="421">
        <f>J25</f>
        <v>0</v>
      </c>
      <c r="L25" s="421"/>
      <c r="M25" s="377" t="s">
        <v>68</v>
      </c>
      <c r="O25" s="343">
        <f>K29+K33+O24</f>
        <v>0</v>
      </c>
    </row>
    <row r="26" spans="1:16" ht="27.65" customHeight="1" x14ac:dyDescent="0.35">
      <c r="A26" s="445"/>
      <c r="B26" s="389" t="s">
        <v>36</v>
      </c>
      <c r="C26" s="83"/>
      <c r="D26" s="358" t="str">
        <f t="shared" si="0"/>
        <v>Pas de DGC</v>
      </c>
      <c r="E26" s="335" t="s">
        <v>36</v>
      </c>
      <c r="F26" s="336">
        <f>SUMIFS(C$6:C$20,B$6:B$20,"TIBOUREN N",D$6:D$20,"AOC")</f>
        <v>0</v>
      </c>
      <c r="G26" s="337">
        <f>F26/($F$41+0.00001)</f>
        <v>0</v>
      </c>
      <c r="H26" s="336">
        <f>IF(G26&lt;90%,F26,9*(F23+F27+F25+F24))</f>
        <v>0</v>
      </c>
      <c r="I26" s="337" t="e">
        <f>K26/(J$8+0.00001)</f>
        <v>#VALUE!</v>
      </c>
      <c r="J26" s="336">
        <f>IF(OR($H$23=$F$28,$H$24=$F$28,$H$25=$F$28,$H$26=$F$28,$H$27=$F$28,G26=100%),0,H26)</f>
        <v>0</v>
      </c>
      <c r="K26" s="421">
        <f>J26</f>
        <v>0</v>
      </c>
      <c r="L26" s="421"/>
      <c r="M26" s="367"/>
    </row>
    <row r="27" spans="1:16" ht="24.65" customHeight="1" x14ac:dyDescent="0.35">
      <c r="A27" s="390" t="s">
        <v>142</v>
      </c>
      <c r="B27" s="389" t="s">
        <v>34</v>
      </c>
      <c r="C27" s="83"/>
      <c r="D27" s="358" t="str">
        <f t="shared" si="0"/>
        <v>Pas de DGC</v>
      </c>
      <c r="E27" s="335" t="s">
        <v>34</v>
      </c>
      <c r="F27" s="336">
        <f>SUMIFS(C$6:C$20,B$6:B$20,"CINSAUT N",D$6:D$20,"AOC")</f>
        <v>0</v>
      </c>
      <c r="G27" s="337">
        <f>F27/($F$41+0.00001)</f>
        <v>0</v>
      </c>
      <c r="H27" s="336">
        <f>IF(G27&lt;90%,F27,9*(F26+F23+F24+F25))</f>
        <v>0</v>
      </c>
      <c r="I27" s="337" t="e">
        <f>K27/(J$8+0.00001)</f>
        <v>#VALUE!</v>
      </c>
      <c r="J27" s="336">
        <f>IF(OR($H$23=$F$28,$H$24=$F$28,$H$25=$F$28,$H$26=$F$28,$H$27=$F$28,G27=100%),0,H27)</f>
        <v>0</v>
      </c>
      <c r="K27" s="421">
        <f>J27</f>
        <v>0</v>
      </c>
      <c r="L27" s="421"/>
      <c r="M27" s="367" t="s">
        <v>96</v>
      </c>
      <c r="O27" s="374">
        <f>0.1*O25</f>
        <v>0</v>
      </c>
    </row>
    <row r="28" spans="1:16" ht="24.65" customHeight="1" thickBot="1" x14ac:dyDescent="0.4">
      <c r="A28" s="390" t="s">
        <v>139</v>
      </c>
      <c r="B28" s="389" t="s">
        <v>46</v>
      </c>
      <c r="C28" s="83"/>
      <c r="D28" s="358" t="str">
        <f t="shared" si="0"/>
        <v>Pas de DGC</v>
      </c>
      <c r="E28" s="338" t="s">
        <v>37</v>
      </c>
      <c r="F28" s="339">
        <f>SUM(F23:F27)</f>
        <v>0</v>
      </c>
      <c r="G28" s="339"/>
      <c r="H28" s="339"/>
      <c r="I28" s="337"/>
      <c r="J28" s="340"/>
      <c r="K28" s="341"/>
      <c r="L28" s="341"/>
      <c r="M28" s="367" t="s">
        <v>78</v>
      </c>
      <c r="O28" s="359">
        <f>IF(O27=0,0,IF(F37+F38+F39&gt;O27,O27,F37+F38+F39))</f>
        <v>0</v>
      </c>
    </row>
    <row r="29" spans="1:16" ht="31.9" customHeight="1" x14ac:dyDescent="0.35">
      <c r="A29" s="390" t="s">
        <v>138</v>
      </c>
      <c r="B29" s="389" t="s">
        <v>133</v>
      </c>
      <c r="C29" s="83"/>
      <c r="D29" s="358" t="str">
        <f t="shared" si="0"/>
        <v>Pas de DGC</v>
      </c>
      <c r="E29" s="430"/>
      <c r="F29" s="430"/>
      <c r="G29" s="391"/>
      <c r="H29" s="431" t="s">
        <v>43</v>
      </c>
      <c r="I29" s="432"/>
      <c r="J29" s="433"/>
      <c r="K29" s="434">
        <f>SUM(K23:K27)</f>
        <v>0</v>
      </c>
      <c r="L29" s="435"/>
      <c r="M29" s="367"/>
    </row>
    <row r="30" spans="1:16" ht="23.5" customHeight="1" x14ac:dyDescent="0.35">
      <c r="A30" s="390" t="s">
        <v>141</v>
      </c>
      <c r="B30" s="392" t="s">
        <v>135</v>
      </c>
      <c r="C30" s="83"/>
      <c r="D30" s="358" t="str">
        <f t="shared" si="0"/>
        <v>Pas de DGC</v>
      </c>
      <c r="E30" s="393" t="s">
        <v>46</v>
      </c>
      <c r="F30" s="394">
        <f>SUMIFS(C$6:C$20,B$6:B$20,"CARIGNAN N",D$6:D$20,"AOC")</f>
        <v>0</v>
      </c>
      <c r="G30" s="394"/>
      <c r="H30" s="462" t="s">
        <v>50</v>
      </c>
      <c r="I30" s="463"/>
      <c r="J30" s="464"/>
      <c r="K30" s="395" t="e">
        <f>IF(J8=0,0,K29*100/J8)</f>
        <v>#VALUE!</v>
      </c>
      <c r="L30" s="396" t="s">
        <v>41</v>
      </c>
      <c r="M30" s="367" t="s">
        <v>84</v>
      </c>
      <c r="O30" s="343">
        <f>O15-O28</f>
        <v>0</v>
      </c>
    </row>
    <row r="31" spans="1:16" ht="22.15" customHeight="1" thickBot="1" x14ac:dyDescent="0.4">
      <c r="A31" s="390" t="s">
        <v>140</v>
      </c>
      <c r="B31" s="397" t="s">
        <v>136</v>
      </c>
      <c r="C31" s="83"/>
      <c r="D31" s="358" t="str">
        <f t="shared" si="0"/>
        <v>Pas de DGC</v>
      </c>
      <c r="E31" s="393" t="s">
        <v>49</v>
      </c>
      <c r="F31" s="394">
        <f>SUMIFS(C$6:C$20,B$6:B$20,"CAB.SAUV.N",D$6:D$20,"AOC")</f>
        <v>0</v>
      </c>
      <c r="G31" s="394"/>
      <c r="H31" s="458" t="s">
        <v>51</v>
      </c>
      <c r="I31" s="459"/>
      <c r="J31" s="460"/>
      <c r="K31" s="469">
        <f>IF(F28&lt;K29,0,F28-K29)</f>
        <v>0</v>
      </c>
      <c r="L31" s="470"/>
      <c r="M31" s="367" t="s">
        <v>87</v>
      </c>
      <c r="O31" s="343">
        <f>IF(F36=0,0,IF(F36&gt;O30,O30,F36))</f>
        <v>0</v>
      </c>
    </row>
    <row r="32" spans="1:16" ht="21" customHeight="1" thickBot="1" x14ac:dyDescent="0.4">
      <c r="A32" s="398"/>
      <c r="B32" s="397" t="s">
        <v>72</v>
      </c>
      <c r="C32" s="83"/>
      <c r="D32" s="358" t="str">
        <f t="shared" si="0"/>
        <v>Pas de DGC</v>
      </c>
      <c r="E32" s="399" t="s">
        <v>58</v>
      </c>
      <c r="F32" s="394">
        <f>SUMIFS(C$6:C$20,B$6:B$20,"CALITOR N",D$6:D$20,"AOC")</f>
        <v>0</v>
      </c>
      <c r="G32" s="394"/>
      <c r="H32" s="461"/>
      <c r="I32" s="461"/>
      <c r="J32" s="461"/>
      <c r="K32" s="475"/>
      <c r="L32" s="475"/>
      <c r="M32" s="367" t="s">
        <v>90</v>
      </c>
      <c r="O32" s="359">
        <f>O31+O28</f>
        <v>0</v>
      </c>
    </row>
    <row r="33" spans="1:16" ht="33.65" customHeight="1" thickBot="1" x14ac:dyDescent="0.4">
      <c r="A33" s="400"/>
      <c r="B33" s="401" t="s">
        <v>75</v>
      </c>
      <c r="C33" s="306"/>
      <c r="D33" s="402" t="str">
        <f t="shared" si="0"/>
        <v>Pas de DGC</v>
      </c>
      <c r="E33" s="393" t="s">
        <v>63</v>
      </c>
      <c r="F33" s="394">
        <f>SUMIFS(C$6:C$20,B$6:B$20,"BARBAR.RS",D$6:D$20,"AOC")</f>
        <v>0</v>
      </c>
      <c r="G33" s="394"/>
      <c r="H33" s="471" t="s">
        <v>57</v>
      </c>
      <c r="I33" s="472"/>
      <c r="J33" s="473"/>
      <c r="K33" s="434">
        <f>O9</f>
        <v>0</v>
      </c>
      <c r="L33" s="435"/>
      <c r="M33" s="377"/>
    </row>
    <row r="34" spans="1:16" ht="27.65" customHeight="1" thickBot="1" x14ac:dyDescent="0.35">
      <c r="A34" s="363"/>
      <c r="B34" s="403" t="s">
        <v>171</v>
      </c>
      <c r="C34" s="404">
        <f>SUM(C23:C33)</f>
        <v>0</v>
      </c>
      <c r="D34" s="363"/>
      <c r="E34" s="405"/>
      <c r="F34" s="406">
        <f>SUM(F30:F33)</f>
        <v>0</v>
      </c>
      <c r="G34" s="406"/>
      <c r="H34" s="462" t="s">
        <v>50</v>
      </c>
      <c r="I34" s="463"/>
      <c r="J34" s="464"/>
      <c r="K34" s="395" t="e">
        <f>IF(J8=0,0,K33*100/J8)</f>
        <v>#VALUE!</v>
      </c>
      <c r="L34" s="396" t="s">
        <v>41</v>
      </c>
    </row>
    <row r="35" spans="1:16" ht="27" customHeight="1" thickBot="1" x14ac:dyDescent="0.35">
      <c r="A35" s="407"/>
      <c r="B35" s="363"/>
      <c r="C35" s="363"/>
      <c r="D35" s="363"/>
      <c r="E35" s="394"/>
      <c r="F35" s="394"/>
      <c r="G35" s="408"/>
      <c r="H35" s="466" t="s">
        <v>67</v>
      </c>
      <c r="I35" s="467"/>
      <c r="J35" s="468"/>
      <c r="K35" s="469">
        <f>IF(F34&lt;K33,0,F34-K33)</f>
        <v>0</v>
      </c>
      <c r="L35" s="470"/>
      <c r="M35" s="409" t="s">
        <v>100</v>
      </c>
    </row>
    <row r="36" spans="1:16" ht="16.5" customHeight="1" thickBot="1" x14ac:dyDescent="0.35">
      <c r="A36" s="363"/>
      <c r="B36" s="363"/>
      <c r="C36" s="363"/>
      <c r="D36" s="363"/>
      <c r="E36" s="399" t="s">
        <v>66</v>
      </c>
      <c r="F36" s="394">
        <f>SUMIFS(C$6:C$20,B$6:B$20,"VERMENT.B",D$6:D$20,"AOC")</f>
        <v>0</v>
      </c>
      <c r="G36" s="394"/>
      <c r="H36" s="474"/>
      <c r="I36" s="474"/>
      <c r="J36" s="474"/>
      <c r="K36" s="475"/>
      <c r="L36" s="475"/>
      <c r="M36" s="367" t="s">
        <v>101</v>
      </c>
      <c r="O36" s="343">
        <f>F28</f>
        <v>0</v>
      </c>
    </row>
    <row r="37" spans="1:16" ht="26.5" customHeight="1" x14ac:dyDescent="0.3">
      <c r="A37" s="363"/>
      <c r="B37" s="363"/>
      <c r="C37" s="363"/>
      <c r="D37" s="363"/>
      <c r="E37" s="393" t="s">
        <v>70</v>
      </c>
      <c r="F37" s="394">
        <f>SUMIFS(C$6:C$20,B$6:B$20,"UGNI B",D$6:D$20,"AOC")</f>
        <v>0</v>
      </c>
      <c r="G37" s="394"/>
      <c r="H37" s="455" t="s">
        <v>76</v>
      </c>
      <c r="I37" s="456"/>
      <c r="J37" s="456"/>
      <c r="K37" s="434">
        <f>IF(OR(O23&gt;O22,O23=O22),O24,O32)</f>
        <v>0</v>
      </c>
      <c r="L37" s="435"/>
      <c r="M37" s="367" t="s">
        <v>102</v>
      </c>
      <c r="O37" s="343">
        <f>F40+F34</f>
        <v>0</v>
      </c>
    </row>
    <row r="38" spans="1:16" ht="15.75" customHeight="1" x14ac:dyDescent="0.3">
      <c r="A38" s="363"/>
      <c r="B38" s="363"/>
      <c r="C38" s="363"/>
      <c r="D38" s="363"/>
      <c r="E38" s="393" t="s">
        <v>72</v>
      </c>
      <c r="F38" s="394">
        <f>SUMIFS(C$6:C$20,B$6:B$20,"CLAIRET.B",D$6:D$20,"AOC")</f>
        <v>0</v>
      </c>
      <c r="G38" s="394"/>
      <c r="H38" s="478" t="s">
        <v>50</v>
      </c>
      <c r="I38" s="479"/>
      <c r="J38" s="479"/>
      <c r="K38" s="395" t="e">
        <f>IF(J8=0,0,K37*100/J8)</f>
        <v>#VALUE!</v>
      </c>
      <c r="L38" s="396" t="s">
        <v>41</v>
      </c>
      <c r="M38" s="367" t="s">
        <v>45</v>
      </c>
      <c r="O38" s="343">
        <f>F28</f>
        <v>0</v>
      </c>
    </row>
    <row r="39" spans="1:16" ht="16.899999999999999" customHeight="1" x14ac:dyDescent="0.3">
      <c r="A39" s="363"/>
      <c r="B39" s="363"/>
      <c r="C39" s="363"/>
      <c r="D39" s="363"/>
      <c r="E39" s="393" t="s">
        <v>75</v>
      </c>
      <c r="F39" s="394">
        <f>SUMIFS(C$6:C$20,B$6:B$20,"SEMILLON B",D$6:D$20,"AOC")</f>
        <v>0</v>
      </c>
      <c r="G39" s="394"/>
      <c r="H39" s="478" t="s">
        <v>83</v>
      </c>
      <c r="I39" s="479"/>
      <c r="J39" s="479"/>
      <c r="K39" s="480">
        <f>IF(OR(O23&gt;O22,O23=O22),O21,O28)</f>
        <v>0</v>
      </c>
      <c r="L39" s="481"/>
      <c r="M39" s="367" t="s">
        <v>104</v>
      </c>
      <c r="O39" s="343">
        <f>IF(O37&gt;O38,O38,O37)</f>
        <v>0</v>
      </c>
    </row>
    <row r="40" spans="1:16" ht="16.5" customHeight="1" x14ac:dyDescent="0.3">
      <c r="A40" s="363"/>
      <c r="B40" s="363"/>
      <c r="C40" s="363"/>
      <c r="D40" s="363"/>
      <c r="E40" s="405"/>
      <c r="F40" s="406">
        <f>SUM(F36:F39)</f>
        <v>0</v>
      </c>
      <c r="G40" s="406"/>
      <c r="H40" s="478" t="s">
        <v>50</v>
      </c>
      <c r="I40" s="479"/>
      <c r="J40" s="479"/>
      <c r="K40" s="395" t="e">
        <f>IF(J8=0,0,K39*100/J8)</f>
        <v>#VALUE!</v>
      </c>
      <c r="L40" s="396" t="s">
        <v>41</v>
      </c>
      <c r="M40" s="367" t="s">
        <v>106</v>
      </c>
      <c r="O40" s="343">
        <f>IF(O37&gt;O38,O37-O38,0)</f>
        <v>0</v>
      </c>
    </row>
    <row r="41" spans="1:16" ht="30.65" customHeight="1" thickBot="1" x14ac:dyDescent="0.35">
      <c r="A41" s="363"/>
      <c r="B41" s="363"/>
      <c r="C41" s="363"/>
      <c r="D41" s="363"/>
      <c r="E41" s="410" t="s">
        <v>61</v>
      </c>
      <c r="F41" s="406">
        <f>F40+F34+F28</f>
        <v>0</v>
      </c>
      <c r="G41" s="411"/>
      <c r="H41" s="482" t="s">
        <v>88</v>
      </c>
      <c r="I41" s="483"/>
      <c r="J41" s="483"/>
      <c r="K41" s="469">
        <f>IF(F40&lt;K37,0,F40-K37)</f>
        <v>0</v>
      </c>
      <c r="L41" s="470"/>
      <c r="M41" s="367" t="s">
        <v>107</v>
      </c>
      <c r="O41" s="343">
        <f>IF(F34&gt;O39,F34-O39,0)</f>
        <v>0</v>
      </c>
    </row>
    <row r="42" spans="1:16" ht="21" customHeight="1" x14ac:dyDescent="0.25">
      <c r="A42" s="345"/>
      <c r="B42" s="345"/>
      <c r="C42" s="345"/>
      <c r="D42" s="345"/>
      <c r="E42" s="476"/>
      <c r="F42" s="476"/>
      <c r="G42" s="476"/>
      <c r="H42" s="476"/>
      <c r="I42" s="476"/>
      <c r="J42" s="477"/>
      <c r="K42" s="477"/>
      <c r="L42" s="477"/>
      <c r="M42" s="412" t="s">
        <v>108</v>
      </c>
      <c r="N42" s="345"/>
      <c r="O42" s="344">
        <f>IF(F34&gt;O39,O39,F34)</f>
        <v>0</v>
      </c>
    </row>
    <row r="43" spans="1:16" ht="15.75" customHeight="1" x14ac:dyDescent="0.25">
      <c r="A43" s="345"/>
      <c r="B43" s="345"/>
      <c r="C43" s="345"/>
      <c r="D43" s="345"/>
      <c r="E43" s="345"/>
      <c r="F43" s="345"/>
      <c r="G43" s="345"/>
      <c r="H43" s="345"/>
      <c r="I43" s="345"/>
      <c r="J43" s="345"/>
      <c r="K43" s="345"/>
      <c r="L43" s="345"/>
      <c r="M43" s="412" t="s">
        <v>109</v>
      </c>
      <c r="N43" s="345"/>
      <c r="O43" s="344">
        <f>IF(O42=O39,0,O39-O42)</f>
        <v>0</v>
      </c>
    </row>
    <row r="44" spans="1:16" ht="15" customHeight="1" x14ac:dyDescent="0.25">
      <c r="A44" s="345"/>
      <c r="B44" s="345"/>
      <c r="C44" s="345"/>
      <c r="D44" s="345"/>
      <c r="E44" s="345"/>
      <c r="F44" s="345"/>
      <c r="G44" s="345"/>
      <c r="H44" s="345"/>
      <c r="I44" s="345"/>
      <c r="J44" s="345"/>
      <c r="K44" s="345"/>
      <c r="L44" s="345"/>
      <c r="M44" s="412" t="s">
        <v>111</v>
      </c>
      <c r="N44" s="345"/>
      <c r="O44" s="344">
        <f>IF(O43&gt;0,F40-O43,F40)</f>
        <v>0</v>
      </c>
    </row>
    <row r="45" spans="1:16" ht="15.75" customHeight="1" x14ac:dyDescent="0.25">
      <c r="A45" s="345"/>
      <c r="B45" s="345"/>
      <c r="C45" s="345"/>
      <c r="D45" s="345"/>
      <c r="E45" s="345"/>
      <c r="F45" s="345"/>
      <c r="G45" s="345"/>
      <c r="H45" s="345"/>
      <c r="I45" s="345"/>
      <c r="J45" s="345"/>
      <c r="K45" s="345"/>
      <c r="L45" s="345"/>
      <c r="M45" s="345"/>
      <c r="N45" s="345"/>
      <c r="O45" s="344"/>
    </row>
    <row r="46" spans="1:16" ht="16.899999999999999" customHeight="1" x14ac:dyDescent="0.25">
      <c r="A46" s="345"/>
      <c r="B46" s="345"/>
      <c r="C46" s="345"/>
      <c r="D46" s="345"/>
      <c r="E46" s="345"/>
      <c r="F46" s="345"/>
      <c r="G46" s="345"/>
      <c r="H46" s="345"/>
      <c r="I46" s="345"/>
      <c r="J46" s="345"/>
      <c r="K46" s="345"/>
      <c r="L46" s="345"/>
      <c r="M46" s="345"/>
      <c r="N46" s="345"/>
      <c r="O46" s="345"/>
      <c r="P46" s="345"/>
    </row>
    <row r="47" spans="1:16" ht="15" customHeight="1" x14ac:dyDescent="0.3">
      <c r="A47" s="345"/>
      <c r="B47" s="345"/>
      <c r="C47" s="345"/>
      <c r="D47" s="345"/>
      <c r="E47" s="345"/>
      <c r="F47" s="345"/>
      <c r="G47" s="345"/>
      <c r="H47" s="345"/>
      <c r="I47" s="345"/>
      <c r="J47" s="345"/>
      <c r="K47" s="345"/>
      <c r="L47" s="345"/>
      <c r="M47" s="345"/>
      <c r="N47" s="413"/>
      <c r="O47" s="414"/>
    </row>
    <row r="48" spans="1:16" ht="17.5" customHeight="1" x14ac:dyDescent="0.3">
      <c r="A48" s="345"/>
      <c r="B48" s="345"/>
      <c r="C48" s="345"/>
      <c r="D48" s="345"/>
      <c r="E48" s="345"/>
      <c r="F48" s="345"/>
      <c r="G48" s="345"/>
      <c r="H48" s="345"/>
      <c r="I48" s="345"/>
      <c r="J48" s="345"/>
      <c r="K48" s="345"/>
      <c r="L48" s="345"/>
      <c r="M48" s="345"/>
      <c r="N48" s="413"/>
      <c r="O48" s="414"/>
    </row>
    <row r="49" spans="1:15" ht="13.9" customHeight="1" x14ac:dyDescent="0.3">
      <c r="A49" s="345"/>
      <c r="B49" s="345"/>
      <c r="C49" s="345"/>
      <c r="D49" s="345"/>
      <c r="E49" s="345"/>
      <c r="F49" s="345"/>
      <c r="G49" s="345"/>
      <c r="H49" s="345"/>
      <c r="I49" s="345"/>
      <c r="J49" s="345"/>
      <c r="K49" s="345"/>
      <c r="L49" s="345"/>
      <c r="M49" s="345"/>
      <c r="N49" s="413"/>
      <c r="O49" s="414"/>
    </row>
    <row r="50" spans="1:15" ht="16.149999999999999" customHeight="1" x14ac:dyDescent="0.3">
      <c r="A50" s="345"/>
      <c r="B50" s="345"/>
      <c r="C50" s="345"/>
      <c r="D50" s="345"/>
      <c r="E50" s="345"/>
      <c r="F50" s="345"/>
      <c r="G50" s="345"/>
      <c r="H50" s="345"/>
      <c r="I50" s="345"/>
      <c r="J50" s="345"/>
      <c r="K50" s="345"/>
      <c r="L50" s="345"/>
      <c r="M50" s="345"/>
      <c r="N50" s="413"/>
      <c r="O50" s="414"/>
    </row>
    <row r="51" spans="1:15" ht="16.5" customHeight="1" x14ac:dyDescent="0.3">
      <c r="A51" s="345"/>
      <c r="B51" s="345"/>
      <c r="C51" s="345"/>
      <c r="D51" s="345"/>
      <c r="E51" s="345"/>
      <c r="F51" s="345"/>
      <c r="G51" s="345"/>
      <c r="H51" s="345"/>
      <c r="I51" s="345"/>
      <c r="J51" s="345"/>
      <c r="K51" s="345"/>
      <c r="L51" s="345"/>
      <c r="M51" s="345"/>
      <c r="N51" s="413"/>
      <c r="O51" s="414"/>
    </row>
    <row r="52" spans="1:15" ht="16.149999999999999" customHeight="1" x14ac:dyDescent="0.45">
      <c r="A52" s="345"/>
      <c r="B52" s="345"/>
      <c r="C52" s="345"/>
      <c r="D52" s="345"/>
      <c r="E52" s="345"/>
      <c r="F52" s="345"/>
      <c r="G52" s="345"/>
      <c r="H52" s="345"/>
      <c r="I52" s="345"/>
      <c r="J52" s="345"/>
      <c r="K52" s="345"/>
      <c r="L52" s="345"/>
      <c r="M52" s="415" t="s">
        <v>147</v>
      </c>
      <c r="N52" s="413"/>
      <c r="O52" s="414"/>
    </row>
    <row r="53" spans="1:15" ht="15.75" customHeight="1" x14ac:dyDescent="0.45">
      <c r="A53" s="345"/>
      <c r="B53" s="345"/>
      <c r="C53" s="345"/>
      <c r="D53" s="345"/>
      <c r="E53" s="345"/>
      <c r="F53" s="345"/>
      <c r="G53" s="345"/>
      <c r="H53" s="345"/>
      <c r="I53" s="345"/>
      <c r="J53" s="345"/>
      <c r="K53" s="345"/>
      <c r="L53" s="345"/>
      <c r="M53" s="415" t="s">
        <v>146</v>
      </c>
      <c r="N53" s="413"/>
      <c r="O53" s="414"/>
    </row>
    <row r="54" spans="1:15" ht="16.899999999999999" customHeight="1" x14ac:dyDescent="0.45">
      <c r="A54" s="345"/>
      <c r="B54" s="345"/>
      <c r="C54" s="345"/>
      <c r="D54" s="345"/>
      <c r="E54" s="345"/>
      <c r="F54" s="345"/>
      <c r="G54" s="345"/>
      <c r="H54" s="345"/>
      <c r="I54" s="345"/>
      <c r="J54" s="345"/>
      <c r="K54" s="345"/>
      <c r="L54" s="345"/>
      <c r="M54" s="415" t="s">
        <v>144</v>
      </c>
      <c r="N54" s="413"/>
      <c r="O54" s="414"/>
    </row>
    <row r="55" spans="1:15" ht="15" customHeight="1" x14ac:dyDescent="0.45">
      <c r="A55" s="345"/>
      <c r="B55" s="345"/>
      <c r="C55" s="345"/>
      <c r="D55" s="345"/>
      <c r="E55" s="345"/>
      <c r="F55" s="345"/>
      <c r="G55" s="345"/>
      <c r="H55" s="345"/>
      <c r="I55" s="345"/>
      <c r="J55" s="345"/>
      <c r="K55" s="345"/>
      <c r="L55" s="345"/>
      <c r="M55" s="415" t="s">
        <v>143</v>
      </c>
      <c r="N55" s="413"/>
      <c r="O55" s="414"/>
    </row>
    <row r="56" spans="1:15" ht="24.5" x14ac:dyDescent="0.45">
      <c r="A56" s="345"/>
      <c r="B56" s="345"/>
      <c r="C56" s="345"/>
      <c r="D56" s="345"/>
      <c r="E56" s="345"/>
      <c r="F56" s="345"/>
      <c r="G56" s="345"/>
      <c r="H56" s="345"/>
      <c r="I56" s="345"/>
      <c r="J56" s="345"/>
      <c r="K56" s="345"/>
      <c r="L56" s="345"/>
      <c r="M56" s="415" t="s">
        <v>145</v>
      </c>
      <c r="N56" s="413"/>
      <c r="O56" s="414"/>
    </row>
    <row r="57" spans="1:15" ht="42" customHeight="1" x14ac:dyDescent="0.5">
      <c r="A57" s="345"/>
      <c r="B57" s="345"/>
      <c r="C57" s="345"/>
      <c r="D57" s="345"/>
      <c r="E57" s="345"/>
      <c r="F57" s="345"/>
      <c r="G57" s="345"/>
      <c r="H57" s="345"/>
      <c r="I57" s="345"/>
      <c r="J57" s="345"/>
      <c r="K57" s="345"/>
      <c r="L57" s="345"/>
      <c r="M57" s="416"/>
      <c r="N57" s="413"/>
      <c r="O57" s="414"/>
    </row>
    <row r="58" spans="1:15" ht="14" x14ac:dyDescent="0.3">
      <c r="A58" s="345"/>
      <c r="B58" s="345"/>
      <c r="C58" s="345"/>
      <c r="D58" s="345"/>
      <c r="E58" s="345"/>
      <c r="F58" s="345"/>
      <c r="G58" s="345"/>
      <c r="H58" s="345"/>
      <c r="I58" s="345"/>
      <c r="J58" s="345"/>
      <c r="K58" s="345"/>
      <c r="L58" s="345"/>
      <c r="M58" s="345"/>
      <c r="N58" s="413"/>
      <c r="O58" s="414"/>
    </row>
    <row r="59" spans="1:15" ht="16.5" customHeight="1" x14ac:dyDescent="0.3">
      <c r="A59" s="345"/>
      <c r="B59" s="345"/>
      <c r="C59" s="345"/>
      <c r="D59" s="345"/>
      <c r="E59" s="345"/>
      <c r="F59" s="345"/>
      <c r="G59" s="345"/>
      <c r="H59" s="345"/>
      <c r="I59" s="345"/>
      <c r="J59" s="345"/>
      <c r="K59" s="345"/>
      <c r="L59" s="345"/>
      <c r="M59" s="417"/>
      <c r="N59" s="413"/>
      <c r="O59" s="414"/>
    </row>
    <row r="60" spans="1:15" ht="15.5" x14ac:dyDescent="0.3">
      <c r="A60" s="345"/>
      <c r="B60" s="345"/>
      <c r="C60" s="345"/>
      <c r="D60" s="345"/>
      <c r="E60" s="345"/>
      <c r="F60" s="345"/>
      <c r="G60" s="345"/>
      <c r="H60" s="345"/>
      <c r="I60" s="345"/>
      <c r="J60" s="345"/>
      <c r="K60" s="345"/>
      <c r="L60" s="345"/>
      <c r="M60" s="417"/>
      <c r="N60" s="413"/>
      <c r="O60" s="414"/>
    </row>
    <row r="61" spans="1:15" ht="16.5" customHeight="1" x14ac:dyDescent="0.3">
      <c r="A61" s="345"/>
      <c r="B61" s="345"/>
      <c r="C61" s="345"/>
      <c r="D61" s="345"/>
      <c r="E61" s="345"/>
      <c r="F61" s="345"/>
      <c r="G61" s="345"/>
      <c r="H61" s="345"/>
      <c r="I61" s="345"/>
      <c r="J61" s="345"/>
      <c r="K61" s="345"/>
      <c r="L61" s="345"/>
      <c r="M61" s="417"/>
      <c r="N61" s="413"/>
      <c r="O61" s="414"/>
    </row>
    <row r="62" spans="1:15" ht="15.5" x14ac:dyDescent="0.3">
      <c r="A62" s="345"/>
      <c r="B62" s="345"/>
      <c r="C62" s="345"/>
      <c r="D62" s="345"/>
      <c r="E62" s="345"/>
      <c r="F62" s="345"/>
      <c r="G62" s="345"/>
      <c r="H62" s="345"/>
      <c r="I62" s="345"/>
      <c r="J62" s="345"/>
      <c r="K62" s="345"/>
      <c r="L62" s="345"/>
      <c r="M62" s="417"/>
      <c r="N62" s="413"/>
      <c r="O62" s="414"/>
    </row>
    <row r="63" spans="1:15" ht="15.5" x14ac:dyDescent="0.3">
      <c r="A63" s="345"/>
      <c r="B63" s="345"/>
      <c r="C63" s="345"/>
      <c r="D63" s="345"/>
      <c r="E63" s="345"/>
      <c r="F63" s="345"/>
      <c r="G63" s="345"/>
      <c r="H63" s="345"/>
      <c r="I63" s="345"/>
      <c r="J63" s="345"/>
      <c r="K63" s="345"/>
      <c r="L63" s="345"/>
      <c r="M63" s="417"/>
      <c r="N63" s="413"/>
      <c r="O63" s="414"/>
    </row>
    <row r="64" spans="1:15" ht="16.899999999999999" customHeight="1" x14ac:dyDescent="0.3">
      <c r="A64" s="345"/>
      <c r="B64" s="345"/>
      <c r="C64" s="345"/>
      <c r="D64" s="345"/>
      <c r="E64" s="345"/>
      <c r="F64" s="345"/>
      <c r="G64" s="345"/>
      <c r="H64" s="345"/>
      <c r="I64" s="345"/>
      <c r="J64" s="345"/>
      <c r="K64" s="345"/>
      <c r="L64" s="345"/>
      <c r="M64" s="417"/>
      <c r="N64" s="413"/>
      <c r="O64" s="414"/>
    </row>
    <row r="65" spans="1:15" ht="16.899999999999999" customHeight="1" x14ac:dyDescent="0.3">
      <c r="A65" s="345"/>
      <c r="B65" s="345"/>
      <c r="C65" s="345"/>
      <c r="D65" s="345"/>
      <c r="E65" s="345"/>
      <c r="F65" s="345"/>
      <c r="G65" s="345"/>
      <c r="H65" s="345"/>
      <c r="I65" s="345"/>
      <c r="J65" s="345"/>
      <c r="K65" s="345"/>
      <c r="L65" s="345"/>
      <c r="M65" s="417"/>
      <c r="N65" s="413"/>
      <c r="O65" s="414"/>
    </row>
    <row r="66" spans="1:15" ht="15.5" x14ac:dyDescent="0.3">
      <c r="A66" s="345"/>
      <c r="B66" s="345"/>
      <c r="C66" s="345"/>
      <c r="D66" s="345"/>
      <c r="E66" s="345"/>
      <c r="F66" s="345"/>
      <c r="G66" s="345"/>
      <c r="H66" s="345"/>
      <c r="I66" s="345"/>
      <c r="J66" s="345"/>
      <c r="K66" s="345"/>
      <c r="L66" s="345"/>
      <c r="M66" s="417"/>
      <c r="N66" s="413"/>
      <c r="O66" s="414"/>
    </row>
    <row r="67" spans="1:15" ht="15.5" x14ac:dyDescent="0.3">
      <c r="A67" s="345"/>
      <c r="B67" s="345"/>
      <c r="C67" s="345"/>
      <c r="D67" s="345"/>
      <c r="E67" s="345"/>
      <c r="F67" s="345"/>
      <c r="G67" s="345"/>
      <c r="H67" s="345"/>
      <c r="I67" s="345"/>
      <c r="J67" s="345"/>
      <c r="K67" s="345"/>
      <c r="L67" s="345"/>
      <c r="M67" s="418"/>
      <c r="N67" s="413"/>
      <c r="O67" s="414"/>
    </row>
    <row r="68" spans="1:15" ht="15.5" x14ac:dyDescent="0.3">
      <c r="A68" s="345"/>
      <c r="B68" s="345"/>
      <c r="C68" s="345"/>
      <c r="D68" s="345"/>
      <c r="E68" s="345"/>
      <c r="F68" s="345"/>
      <c r="G68" s="345"/>
      <c r="H68" s="345"/>
      <c r="I68" s="345"/>
      <c r="J68" s="345"/>
      <c r="K68" s="345"/>
      <c r="L68" s="345"/>
      <c r="M68" s="417"/>
      <c r="N68" s="413"/>
      <c r="O68" s="414"/>
    </row>
    <row r="69" spans="1:15" ht="15.5" x14ac:dyDescent="0.3">
      <c r="A69" s="345"/>
      <c r="B69" s="345"/>
      <c r="C69" s="345"/>
      <c r="D69" s="345"/>
      <c r="E69" s="345"/>
      <c r="F69" s="345"/>
      <c r="G69" s="345"/>
      <c r="H69" s="345"/>
      <c r="I69" s="345"/>
      <c r="J69" s="345"/>
      <c r="K69" s="345"/>
      <c r="L69" s="345"/>
      <c r="M69" s="417"/>
      <c r="N69" s="413"/>
      <c r="O69" s="414"/>
    </row>
    <row r="70" spans="1:15" ht="15.5" x14ac:dyDescent="0.3">
      <c r="A70" s="345"/>
      <c r="B70" s="345"/>
      <c r="C70" s="345"/>
      <c r="D70" s="345"/>
      <c r="E70" s="345"/>
      <c r="F70" s="345"/>
      <c r="G70" s="345"/>
      <c r="H70" s="345"/>
      <c r="I70" s="345"/>
      <c r="J70" s="345"/>
      <c r="K70" s="345"/>
      <c r="L70" s="345"/>
      <c r="M70" s="417"/>
      <c r="N70" s="413"/>
      <c r="O70" s="414"/>
    </row>
    <row r="71" spans="1:15" ht="15.5" x14ac:dyDescent="0.3">
      <c r="A71" s="345"/>
      <c r="B71" s="345"/>
      <c r="C71" s="345"/>
      <c r="D71" s="345"/>
      <c r="E71" s="345"/>
      <c r="F71" s="345"/>
      <c r="G71" s="345"/>
      <c r="H71" s="345"/>
      <c r="I71" s="345"/>
      <c r="J71" s="345"/>
      <c r="K71" s="345"/>
      <c r="L71" s="345"/>
      <c r="M71" s="417"/>
      <c r="N71" s="413"/>
      <c r="O71" s="414"/>
    </row>
    <row r="72" spans="1:15" ht="15.5" x14ac:dyDescent="0.3">
      <c r="A72" s="345"/>
      <c r="B72" s="345"/>
      <c r="C72" s="345"/>
      <c r="D72" s="345"/>
      <c r="E72" s="345"/>
      <c r="F72" s="345"/>
      <c r="G72" s="345"/>
      <c r="H72" s="345"/>
      <c r="I72" s="345"/>
      <c r="J72" s="345"/>
      <c r="K72" s="345"/>
      <c r="L72" s="345"/>
      <c r="M72" s="417"/>
      <c r="N72" s="413"/>
      <c r="O72" s="414"/>
    </row>
    <row r="73" spans="1:15" ht="15.5" x14ac:dyDescent="0.3">
      <c r="A73" s="345"/>
      <c r="B73" s="345"/>
      <c r="C73" s="345"/>
      <c r="D73" s="345"/>
      <c r="E73" s="345"/>
      <c r="F73" s="345"/>
      <c r="G73" s="345"/>
      <c r="H73" s="345"/>
      <c r="I73" s="345"/>
      <c r="J73" s="345"/>
      <c r="K73" s="345"/>
      <c r="L73" s="345"/>
      <c r="M73" s="417"/>
      <c r="N73" s="413"/>
      <c r="O73" s="414"/>
    </row>
    <row r="74" spans="1:15" ht="15.5" x14ac:dyDescent="0.3">
      <c r="A74" s="345"/>
      <c r="B74" s="345"/>
      <c r="C74" s="345"/>
      <c r="D74" s="345"/>
      <c r="E74" s="345"/>
      <c r="F74" s="345"/>
      <c r="G74" s="345"/>
      <c r="H74" s="345"/>
      <c r="I74" s="345"/>
      <c r="J74" s="345"/>
      <c r="K74" s="345"/>
      <c r="L74" s="345"/>
      <c r="M74" s="417"/>
      <c r="N74" s="413"/>
      <c r="O74" s="414"/>
    </row>
    <row r="75" spans="1:15" ht="15.5" x14ac:dyDescent="0.3">
      <c r="A75" s="345"/>
      <c r="B75" s="345"/>
      <c r="C75" s="345"/>
      <c r="D75" s="345"/>
      <c r="E75" s="345"/>
      <c r="F75" s="345"/>
      <c r="G75" s="345"/>
      <c r="H75" s="345"/>
      <c r="I75" s="345"/>
      <c r="J75" s="345"/>
      <c r="K75" s="345"/>
      <c r="L75" s="345"/>
      <c r="M75" s="417"/>
      <c r="N75" s="413"/>
      <c r="O75" s="414"/>
    </row>
    <row r="76" spans="1:15" ht="15.5" x14ac:dyDescent="0.3">
      <c r="A76" s="345"/>
      <c r="B76" s="345"/>
      <c r="C76" s="345"/>
      <c r="D76" s="345"/>
      <c r="E76" s="345"/>
      <c r="F76" s="345"/>
      <c r="G76" s="345"/>
      <c r="H76" s="345"/>
      <c r="I76" s="345"/>
      <c r="J76" s="345"/>
      <c r="K76" s="345"/>
      <c r="L76" s="345"/>
      <c r="M76" s="417"/>
      <c r="N76" s="413"/>
      <c r="O76" s="414"/>
    </row>
    <row r="77" spans="1:15" ht="15.5" x14ac:dyDescent="0.3">
      <c r="A77" s="345"/>
      <c r="B77" s="345"/>
      <c r="C77" s="345"/>
      <c r="D77" s="345"/>
      <c r="E77" s="345"/>
      <c r="F77" s="345"/>
      <c r="G77" s="345"/>
      <c r="H77" s="345"/>
      <c r="I77" s="345"/>
      <c r="J77" s="345"/>
      <c r="K77" s="345"/>
      <c r="L77" s="345"/>
      <c r="M77" s="417"/>
      <c r="N77" s="413"/>
      <c r="O77" s="414"/>
    </row>
    <row r="78" spans="1:15" ht="15.5" x14ac:dyDescent="0.3">
      <c r="A78" s="345"/>
      <c r="B78" s="345"/>
      <c r="C78" s="345"/>
      <c r="D78" s="345"/>
      <c r="E78" s="345"/>
      <c r="F78" s="345"/>
      <c r="G78" s="345"/>
      <c r="H78" s="345"/>
      <c r="I78" s="345"/>
      <c r="J78" s="345"/>
      <c r="K78" s="345"/>
      <c r="L78" s="345"/>
      <c r="M78" s="418"/>
      <c r="N78" s="413"/>
      <c r="O78" s="414"/>
    </row>
    <row r="79" spans="1:15" ht="15.5" x14ac:dyDescent="0.3">
      <c r="A79" s="345"/>
      <c r="B79" s="345"/>
      <c r="C79" s="345"/>
      <c r="D79" s="345"/>
      <c r="E79" s="345"/>
      <c r="F79" s="345"/>
      <c r="G79" s="345"/>
      <c r="H79" s="345"/>
      <c r="I79" s="345"/>
      <c r="J79" s="345"/>
      <c r="K79" s="345"/>
      <c r="L79" s="345"/>
      <c r="M79" s="417"/>
      <c r="N79" s="413"/>
      <c r="O79" s="414"/>
    </row>
    <row r="80" spans="1:15" ht="15.5" x14ac:dyDescent="0.3">
      <c r="A80" s="345"/>
      <c r="B80" s="345"/>
      <c r="C80" s="345"/>
      <c r="D80" s="345"/>
      <c r="E80" s="345"/>
      <c r="F80" s="345"/>
      <c r="G80" s="345"/>
      <c r="H80" s="345"/>
      <c r="I80" s="345"/>
      <c r="J80" s="345"/>
      <c r="K80" s="345"/>
      <c r="L80" s="345"/>
      <c r="M80" s="418"/>
      <c r="N80" s="413"/>
      <c r="O80" s="414"/>
    </row>
    <row r="81" spans="1:15" ht="15.5" x14ac:dyDescent="0.3">
      <c r="A81" s="345"/>
      <c r="B81" s="345"/>
      <c r="C81" s="345"/>
      <c r="D81" s="345"/>
      <c r="E81" s="345"/>
      <c r="F81" s="345"/>
      <c r="G81" s="345"/>
      <c r="H81" s="345"/>
      <c r="I81" s="345"/>
      <c r="J81" s="345"/>
      <c r="K81" s="345"/>
      <c r="L81" s="345"/>
      <c r="M81" s="417"/>
      <c r="N81" s="413"/>
      <c r="O81" s="414"/>
    </row>
    <row r="82" spans="1:15" ht="15.5" x14ac:dyDescent="0.3">
      <c r="A82" s="345"/>
      <c r="B82" s="345"/>
      <c r="C82" s="345"/>
      <c r="D82" s="345"/>
      <c r="E82" s="345"/>
      <c r="F82" s="345"/>
      <c r="G82" s="345"/>
      <c r="H82" s="345"/>
      <c r="I82" s="345"/>
      <c r="J82" s="345"/>
      <c r="K82" s="345"/>
      <c r="L82" s="345"/>
      <c r="M82" s="417"/>
      <c r="N82" s="413"/>
      <c r="O82" s="414"/>
    </row>
    <row r="83" spans="1:15" ht="15.5" x14ac:dyDescent="0.3">
      <c r="A83" s="345"/>
      <c r="B83" s="345"/>
      <c r="C83" s="345"/>
      <c r="D83" s="345"/>
      <c r="E83" s="345"/>
      <c r="F83" s="345"/>
      <c r="G83" s="345"/>
      <c r="H83" s="345"/>
      <c r="I83" s="345"/>
      <c r="J83" s="345"/>
      <c r="K83" s="345"/>
      <c r="L83" s="345"/>
      <c r="M83" s="417"/>
      <c r="N83" s="413"/>
      <c r="O83" s="414"/>
    </row>
    <row r="84" spans="1:15" x14ac:dyDescent="0.25">
      <c r="A84" s="345"/>
      <c r="B84" s="345"/>
      <c r="C84" s="345"/>
      <c r="D84" s="345"/>
      <c r="E84" s="345"/>
      <c r="F84" s="345"/>
      <c r="G84" s="345"/>
      <c r="H84" s="345"/>
      <c r="I84" s="345"/>
      <c r="J84" s="345"/>
      <c r="K84" s="345"/>
      <c r="L84" s="345"/>
      <c r="M84" s="413"/>
      <c r="N84" s="413"/>
      <c r="O84" s="419"/>
    </row>
    <row r="85" spans="1:15" x14ac:dyDescent="0.25">
      <c r="A85" s="345"/>
      <c r="B85" s="345"/>
      <c r="C85" s="345"/>
      <c r="D85" s="345"/>
      <c r="E85" s="345"/>
      <c r="F85" s="345"/>
      <c r="G85" s="345"/>
      <c r="H85" s="345"/>
      <c r="I85" s="345"/>
      <c r="J85" s="345"/>
      <c r="K85" s="345"/>
      <c r="L85" s="345"/>
      <c r="M85" s="413"/>
      <c r="N85" s="413"/>
      <c r="O85" s="419"/>
    </row>
  </sheetData>
  <sheetProtection algorithmName="SHA-512" hashValue="BPbeOlnR0lRp0sZ0X4sSmFDI4xZW6tYFb6YywPJzddXCBmF5gP3OB2OJ2PtlZmu8p5F+cFwmv7A2Jw0MSJybQg==" saltValue="OuCoGCPlQXp40tiRc/TtNA==" spinCount="100000" sheet="1" objects="1" scenarios="1"/>
  <mergeCells count="52">
    <mergeCell ref="K32:L32"/>
    <mergeCell ref="K31:L31"/>
    <mergeCell ref="J16:L16"/>
    <mergeCell ref="E18:I18"/>
    <mergeCell ref="J18:L18"/>
    <mergeCell ref="E20:L21"/>
    <mergeCell ref="E42:I42"/>
    <mergeCell ref="J42:L42"/>
    <mergeCell ref="H39:J39"/>
    <mergeCell ref="K39:L39"/>
    <mergeCell ref="H38:J38"/>
    <mergeCell ref="H41:J41"/>
    <mergeCell ref="K41:L41"/>
    <mergeCell ref="H40:J40"/>
    <mergeCell ref="H37:J37"/>
    <mergeCell ref="K37:L37"/>
    <mergeCell ref="E17:I17"/>
    <mergeCell ref="J17:L17"/>
    <mergeCell ref="E16:I16"/>
    <mergeCell ref="H31:J31"/>
    <mergeCell ref="H32:J32"/>
    <mergeCell ref="H30:J30"/>
    <mergeCell ref="K22:L22"/>
    <mergeCell ref="H35:J35"/>
    <mergeCell ref="K35:L35"/>
    <mergeCell ref="H33:J33"/>
    <mergeCell ref="H36:J36"/>
    <mergeCell ref="K36:L36"/>
    <mergeCell ref="H34:J34"/>
    <mergeCell ref="K33:L33"/>
    <mergeCell ref="A1:L4"/>
    <mergeCell ref="E29:F29"/>
    <mergeCell ref="H29:J29"/>
    <mergeCell ref="K29:L29"/>
    <mergeCell ref="K27:L27"/>
    <mergeCell ref="E5:L5"/>
    <mergeCell ref="E8:I8"/>
    <mergeCell ref="J8:L8"/>
    <mergeCell ref="E6:L7"/>
    <mergeCell ref="A6:A18"/>
    <mergeCell ref="A19:A20"/>
    <mergeCell ref="A24:A26"/>
    <mergeCell ref="E12:L13"/>
    <mergeCell ref="E10:I10"/>
    <mergeCell ref="J10:L10"/>
    <mergeCell ref="K23:L23"/>
    <mergeCell ref="E9:I9"/>
    <mergeCell ref="K26:L26"/>
    <mergeCell ref="K25:L25"/>
    <mergeCell ref="J9:L9"/>
    <mergeCell ref="K24:L24"/>
    <mergeCell ref="E14:L15"/>
  </mergeCells>
  <conditionalFormatting sqref="E40 E34">
    <cfRule type="cellIs" dxfId="26" priority="21" stopIfTrue="1" operator="notEqual">
      <formula>0</formula>
    </cfRule>
  </conditionalFormatting>
  <conditionalFormatting sqref="I23:I27">
    <cfRule type="cellIs" dxfId="25" priority="19" stopIfTrue="1" operator="greaterThan">
      <formula>0.9</formula>
    </cfRule>
  </conditionalFormatting>
  <conditionalFormatting sqref="B21">
    <cfRule type="cellIs" dxfId="24" priority="3" stopIfTrue="1" operator="notEqual">
      <formula>0</formula>
    </cfRule>
  </conditionalFormatting>
  <conditionalFormatting sqref="B16">
    <cfRule type="cellIs" dxfId="23" priority="2" stopIfTrue="1" operator="notEqual">
      <formula>0</formula>
    </cfRule>
  </conditionalFormatting>
  <conditionalFormatting sqref="B34">
    <cfRule type="cellIs" dxfId="22" priority="1" stopIfTrue="1" operator="notEqual">
      <formula>0</formula>
    </cfRule>
  </conditionalFormatting>
  <dataValidations xWindow="406" yWindow="265" count="6">
    <dataValidation type="list" allowBlank="1" showErrorMessage="1" promptTitle="Liste déroulante " prompt="Choix DGC puis entrer les surfaces maximales par cépage. " sqref="B22" xr:uid="{00000000-0002-0000-0000-000000000000}">
      <formula1>ListeDGC</formula1>
    </dataValidation>
    <dataValidation type="decimal" operator="greaterThanOrEqual" allowBlank="1" showErrorMessage="1" errorTitle="Erreur de Saisie" error="Vous devez entrer une surface supérieure ou égale à la surface identifiée en DGC. " promptTitle="Erreur Saisie " sqref="C6 C23:C33" xr:uid="{00000000-0002-0000-0000-000001000000}">
      <formula1>C23</formula1>
    </dataValidation>
    <dataValidation type="decimal" operator="greaterThanOrEqual" allowBlank="1" showInputMessage="1" showErrorMessage="1" errorTitle="Erreur de Saisie" error="Vous devez entrer une surface supérieure ou égale à la surface identifiée en DGC. " sqref="C7:C10" xr:uid="{00000000-0002-0000-0000-000002000000}">
      <formula1>C24</formula1>
    </dataValidation>
    <dataValidation type="decimal" operator="greaterThanOrEqual" allowBlank="1" showInputMessage="1" showErrorMessage="1" errorTitle="Errreur de Sasie" error="Vous devez entrer une surface supérieure ou égale à la surface identifiée en DGC. " sqref="C12" xr:uid="{00000000-0002-0000-0000-000003000000}">
      <formula1>C28</formula1>
    </dataValidation>
    <dataValidation type="decimal" operator="greaterThanOrEqual" allowBlank="1" showInputMessage="1" showErrorMessage="1" errorTitle="Erreur de Saisie" error="Vous devez entrer une surface supérieure ou égale à la surface identifiée en DGC. " sqref="C13" xr:uid="{00000000-0002-0000-0000-000004000000}">
      <formula1>C29</formula1>
    </dataValidation>
    <dataValidation type="decimal" operator="greaterThanOrEqual" allowBlank="1" showInputMessage="1" showErrorMessage="1" errorTitle="Erreur de Saisie" error="Vous devez entrer une surface supérieure ou égale à la surface identifiée en DGC. " sqref="C17:C20" xr:uid="{00000000-0002-0000-0000-000005000000}">
      <formula1>C30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tabColor theme="5" tint="0.39997558519241921"/>
  </sheetPr>
  <dimension ref="A1:AX121"/>
  <sheetViews>
    <sheetView zoomScale="62" zoomScaleNormal="62" workbookViewId="0">
      <selection sqref="A1:XFD1048576"/>
    </sheetView>
  </sheetViews>
  <sheetFormatPr baseColWidth="10" defaultColWidth="11.25" defaultRowHeight="16" x14ac:dyDescent="0.35"/>
  <cols>
    <col min="1" max="1" width="33.75" style="14" customWidth="1"/>
    <col min="2" max="2" width="22.25" style="14" customWidth="1"/>
    <col min="3" max="3" width="12" style="14" bestFit="1" customWidth="1"/>
    <col min="4" max="4" width="19.25" style="14" customWidth="1"/>
    <col min="5" max="5" width="6.75" style="14" customWidth="1"/>
    <col min="6" max="6" width="19.25" style="14" customWidth="1"/>
    <col min="7" max="7" width="11.25" style="14" customWidth="1"/>
    <col min="8" max="8" width="1.75" style="14" customWidth="1"/>
    <col min="9" max="9" width="78.83203125" style="14" hidden="1" customWidth="1"/>
    <col min="10" max="10" width="11.25" style="14" hidden="1" customWidth="1"/>
    <col min="11" max="11" width="2.08203125" style="14" hidden="1" customWidth="1"/>
    <col min="12" max="12" width="8.75" style="31" customWidth="1"/>
    <col min="13" max="13" width="26.25" style="14" customWidth="1"/>
    <col min="14" max="14" width="18.83203125" style="14" customWidth="1"/>
    <col min="15" max="15" width="32" style="14" customWidth="1"/>
    <col min="16" max="16" width="18.08203125" style="14" customWidth="1"/>
    <col min="17" max="17" width="4.58203125" style="14" customWidth="1"/>
    <col min="18" max="18" width="16" style="14" customWidth="1"/>
    <col min="19" max="19" width="11.25" style="14" bestFit="1" customWidth="1"/>
    <col min="20" max="20" width="12.33203125" style="14" customWidth="1"/>
    <col min="21" max="21" width="11.25" style="31"/>
    <col min="22" max="22" width="11.25" style="31" hidden="1" customWidth="1"/>
    <col min="23" max="23" width="53.75" style="31" hidden="1" customWidth="1"/>
    <col min="24" max="25" width="11.25" style="31" hidden="1" customWidth="1"/>
    <col min="26" max="27" width="0" style="31" hidden="1" customWidth="1"/>
    <col min="28" max="50" width="11.25" style="286"/>
    <col min="51" max="16384" width="11.25" style="14"/>
  </cols>
  <sheetData>
    <row r="1" spans="1:25" ht="42.75" customHeight="1" x14ac:dyDescent="0.35">
      <c r="A1" s="487" t="s">
        <v>149</v>
      </c>
      <c r="B1" s="488"/>
      <c r="C1" s="488"/>
      <c r="D1" s="488"/>
      <c r="E1" s="488"/>
      <c r="F1" s="488"/>
      <c r="G1" s="488"/>
      <c r="H1" s="489"/>
      <c r="K1" s="15"/>
      <c r="M1" s="500" t="s">
        <v>164</v>
      </c>
      <c r="N1" s="501"/>
      <c r="O1" s="501"/>
      <c r="P1" s="501"/>
      <c r="Q1" s="501"/>
      <c r="R1" s="501"/>
      <c r="S1" s="501"/>
      <c r="T1" s="502"/>
      <c r="U1" s="241"/>
      <c r="V1" s="34"/>
      <c r="X1" s="116"/>
    </row>
    <row r="2" spans="1:25" ht="6" customHeight="1" thickBot="1" x14ac:dyDescent="0.4">
      <c r="A2" s="490"/>
      <c r="B2" s="491"/>
      <c r="C2" s="491"/>
      <c r="D2" s="491"/>
      <c r="E2" s="491"/>
      <c r="F2" s="491"/>
      <c r="G2" s="491"/>
      <c r="H2" s="492"/>
      <c r="K2" s="15"/>
      <c r="M2" s="503"/>
      <c r="N2" s="504"/>
      <c r="O2" s="504"/>
      <c r="P2" s="504"/>
      <c r="Q2" s="504"/>
      <c r="R2" s="504"/>
      <c r="S2" s="504"/>
      <c r="T2" s="505"/>
      <c r="U2" s="241"/>
      <c r="V2" s="34"/>
      <c r="X2" s="116"/>
    </row>
    <row r="3" spans="1:25" ht="35.25" customHeight="1" thickBot="1" x14ac:dyDescent="0.4">
      <c r="A3" s="484" t="s">
        <v>150</v>
      </c>
      <c r="B3" s="485"/>
      <c r="C3" s="485"/>
      <c r="D3" s="485"/>
      <c r="E3" s="485"/>
      <c r="F3" s="485"/>
      <c r="G3" s="485"/>
      <c r="H3" s="486"/>
      <c r="K3" s="15"/>
      <c r="M3" s="509" t="s">
        <v>0</v>
      </c>
      <c r="N3" s="510"/>
      <c r="O3" s="510"/>
      <c r="P3" s="510"/>
      <c r="Q3" s="510"/>
      <c r="R3" s="510"/>
      <c r="S3" s="510"/>
      <c r="T3" s="511"/>
      <c r="U3" s="241"/>
      <c r="V3" s="34"/>
      <c r="X3" s="116"/>
    </row>
    <row r="4" spans="1:25" ht="30" customHeight="1" thickBot="1" x14ac:dyDescent="0.4">
      <c r="A4" s="513" t="s">
        <v>92</v>
      </c>
      <c r="B4" s="514"/>
      <c r="C4" s="514"/>
      <c r="D4" s="514"/>
      <c r="E4" s="514"/>
      <c r="F4" s="515" t="str">
        <f>IF(CDP!F41&lt;=1.5,"!!!!!!!!!!!",IF(AND(CDP!F41&lt;1.5,FR!B25=50/100*FR!B38),FR!B38,G26+G30+G34))</f>
        <v>!!!!!!!!!!!</v>
      </c>
      <c r="G4" s="516"/>
      <c r="H4" s="517"/>
      <c r="I4" s="16" t="s">
        <v>11</v>
      </c>
      <c r="J4" s="17"/>
      <c r="K4" s="15" t="e">
        <f>G26*30/70</f>
        <v>#VALUE!</v>
      </c>
      <c r="L4" s="33"/>
      <c r="M4" s="513" t="s">
        <v>79</v>
      </c>
      <c r="N4" s="514"/>
      <c r="O4" s="514"/>
      <c r="P4" s="514"/>
      <c r="Q4" s="554"/>
      <c r="R4" s="555" t="e">
        <f>S15+S19</f>
        <v>#VALUE!</v>
      </c>
      <c r="S4" s="556"/>
      <c r="T4" s="557"/>
      <c r="U4" s="240"/>
      <c r="V4" s="263" t="s">
        <v>14</v>
      </c>
      <c r="W4" s="264"/>
      <c r="X4" s="116" t="e">
        <f>S12*90/10</f>
        <v>#VALUE!</v>
      </c>
    </row>
    <row r="5" spans="1:25" ht="30" customHeight="1" thickBot="1" x14ac:dyDescent="0.4">
      <c r="A5" s="513" t="s">
        <v>95</v>
      </c>
      <c r="B5" s="514"/>
      <c r="C5" s="514"/>
      <c r="D5" s="514"/>
      <c r="E5" s="514"/>
      <c r="F5" s="515" t="str">
        <f>IF(CDP!F41&lt;=1.5,"!!!!!!!!!!!",G38)</f>
        <v>!!!!!!!!!!!</v>
      </c>
      <c r="G5" s="516"/>
      <c r="H5" s="517"/>
      <c r="I5" s="20" t="s">
        <v>24</v>
      </c>
      <c r="J5" s="18"/>
      <c r="K5" s="15">
        <f>B31</f>
        <v>0</v>
      </c>
      <c r="M5" s="518" t="s">
        <v>85</v>
      </c>
      <c r="N5" s="519"/>
      <c r="O5" s="519"/>
      <c r="P5" s="519"/>
      <c r="Q5" s="520"/>
      <c r="R5" s="597" t="e">
        <f>S17+S21</f>
        <v>#VALUE!</v>
      </c>
      <c r="S5" s="598"/>
      <c r="T5" s="599"/>
      <c r="U5" s="242"/>
      <c r="V5" s="263" t="s">
        <v>25</v>
      </c>
      <c r="W5" s="33"/>
      <c r="X5" s="116" t="e">
        <f>SUM(S9,S10,S11,N16)</f>
        <v>#VALUE!</v>
      </c>
      <c r="Y5" s="33"/>
    </row>
    <row r="6" spans="1:25" ht="24.65" customHeight="1" thickBot="1" x14ac:dyDescent="0.4">
      <c r="A6" s="518" t="s">
        <v>97</v>
      </c>
      <c r="B6" s="519"/>
      <c r="C6" s="519"/>
      <c r="D6" s="519"/>
      <c r="E6" s="520"/>
      <c r="F6" s="521" t="str">
        <f>IF(CDP!F41&lt;=1.5,"!!!!!!!!!!!",FR!G28+FR!G32)</f>
        <v>!!!!!!!!!!!</v>
      </c>
      <c r="G6" s="522"/>
      <c r="H6" s="523"/>
      <c r="I6" s="20" t="s">
        <v>29</v>
      </c>
      <c r="J6" s="18"/>
      <c r="K6" s="15" t="e">
        <f>IF((G26*100/F4)&gt;70,100-(G26*100/F4),30)</f>
        <v>#VALUE!</v>
      </c>
      <c r="L6" s="92"/>
      <c r="M6" s="493" t="s">
        <v>151</v>
      </c>
      <c r="N6" s="494"/>
      <c r="O6" s="494"/>
      <c r="P6" s="494"/>
      <c r="Q6" s="494"/>
      <c r="R6" s="494"/>
      <c r="S6" s="494"/>
      <c r="T6" s="495"/>
      <c r="U6" s="242"/>
      <c r="V6" s="263" t="s">
        <v>30</v>
      </c>
      <c r="W6" s="33"/>
      <c r="X6" s="116" t="e">
        <f>IF(X5&gt;X4,X4,X5)</f>
        <v>#VALUE!</v>
      </c>
    </row>
    <row r="7" spans="1:25" ht="15.65" customHeight="1" thickBot="1" x14ac:dyDescent="0.4">
      <c r="I7" s="20"/>
      <c r="J7" s="18"/>
      <c r="K7" s="15"/>
      <c r="M7" s="496"/>
      <c r="N7" s="497"/>
      <c r="O7" s="497"/>
      <c r="P7" s="497"/>
      <c r="Q7" s="497"/>
      <c r="R7" s="497"/>
      <c r="S7" s="497"/>
      <c r="T7" s="498"/>
      <c r="U7" s="242"/>
      <c r="V7" s="263"/>
      <c r="W7" s="33"/>
      <c r="X7" s="116"/>
      <c r="Y7" s="92"/>
    </row>
    <row r="8" spans="1:25" ht="46.9" customHeight="1" thickBot="1" x14ac:dyDescent="0.4">
      <c r="A8" s="524" t="s">
        <v>168</v>
      </c>
      <c r="B8" s="525"/>
      <c r="C8" s="525"/>
      <c r="D8" s="525"/>
      <c r="E8" s="525"/>
      <c r="F8" s="525"/>
      <c r="G8" s="525"/>
      <c r="H8" s="526"/>
      <c r="I8" s="20" t="s">
        <v>35</v>
      </c>
      <c r="J8" s="18"/>
      <c r="K8" s="21" t="e">
        <f>IF(B31&gt;K4,K4,B31)</f>
        <v>#VALUE!</v>
      </c>
      <c r="M8" s="96" t="s">
        <v>4</v>
      </c>
      <c r="N8" s="97" t="s">
        <v>12</v>
      </c>
      <c r="O8" s="332" t="s">
        <v>6</v>
      </c>
      <c r="P8" s="332" t="s">
        <v>13</v>
      </c>
      <c r="Q8" s="332" t="s">
        <v>8</v>
      </c>
      <c r="R8" s="332" t="s">
        <v>9</v>
      </c>
      <c r="S8" s="612" t="s">
        <v>10</v>
      </c>
      <c r="T8" s="612"/>
      <c r="U8" s="242"/>
      <c r="V8" s="34"/>
      <c r="X8" s="116"/>
    </row>
    <row r="9" spans="1:25" ht="18.5" thickBot="1" x14ac:dyDescent="0.4">
      <c r="A9" s="527"/>
      <c r="B9" s="528"/>
      <c r="C9" s="528"/>
      <c r="D9" s="528"/>
      <c r="E9" s="528"/>
      <c r="F9" s="528"/>
      <c r="G9" s="528"/>
      <c r="H9" s="529"/>
      <c r="I9" s="20"/>
      <c r="J9" s="18"/>
      <c r="K9" s="15"/>
      <c r="M9" s="93" t="s">
        <v>23</v>
      </c>
      <c r="N9" s="323" t="str">
        <f>IF(CDP!D$23="FR",CDP!C$23,"")</f>
        <v/>
      </c>
      <c r="O9" s="86" t="e">
        <f>N9/($N$19+0.00001)</f>
        <v>#VALUE!</v>
      </c>
      <c r="P9" s="87" t="e">
        <f>IF(O9&lt;60%,N9,1.5*(N10+N11+N12))</f>
        <v>#VALUE!</v>
      </c>
      <c r="Q9" s="86" t="e">
        <f>S9/(R$4+0.00001)</f>
        <v>#VALUE!</v>
      </c>
      <c r="R9" s="80" t="e">
        <f>IF(OR($P$10=$N$14,$P$11=$N$14,$P$12=$N$14,$P$9=$N$14,O9=100%),0,P9)</f>
        <v>#VALUE!</v>
      </c>
      <c r="S9" s="499" t="e">
        <f>R9</f>
        <v>#VALUE!</v>
      </c>
      <c r="T9" s="499"/>
      <c r="U9" s="242"/>
      <c r="V9" s="263" t="s">
        <v>42</v>
      </c>
      <c r="W9" s="33"/>
      <c r="X9" s="116" t="e">
        <f>S9+S10+S11+S12</f>
        <v>#VALUE!</v>
      </c>
    </row>
    <row r="10" spans="1:25" ht="19.149999999999999" customHeight="1" thickBot="1" x14ac:dyDescent="0.4">
      <c r="A10" s="530" t="s">
        <v>150</v>
      </c>
      <c r="B10" s="531"/>
      <c r="C10" s="531"/>
      <c r="D10" s="531"/>
      <c r="E10" s="531"/>
      <c r="F10" s="531"/>
      <c r="G10" s="531"/>
      <c r="H10" s="532"/>
      <c r="I10" s="19" t="s">
        <v>44</v>
      </c>
      <c r="J10" s="18"/>
      <c r="K10" s="15" t="e">
        <f>IF(K8=K4,0,IF(K8&lt;(G26*10/70),G26*20/70,IF(K8=(G26*10/70),G26*20/70,IF(K8&gt;(G26*10/70),(G26*30/70)-K8,0))))</f>
        <v>#VALUE!</v>
      </c>
      <c r="M10" s="94" t="s">
        <v>28</v>
      </c>
      <c r="N10" s="323" t="str">
        <f>IF(CDP!D$24="FR",CDP!C$24,"")</f>
        <v/>
      </c>
      <c r="O10" s="86" t="e">
        <f>N10/($N$19+0.00001)</f>
        <v>#VALUE!</v>
      </c>
      <c r="P10" s="87" t="e">
        <f t="shared" ref="P10:P12" si="0">IF(O10&lt;60%,N10,1.5*(N11+N12+N13))</f>
        <v>#VALUE!</v>
      </c>
      <c r="Q10" s="86" t="e">
        <f t="shared" ref="Q10:Q12" si="1">S10/(R$4+0.00001)</f>
        <v>#VALUE!</v>
      </c>
      <c r="R10" s="80" t="e">
        <f t="shared" ref="R10:R12" si="2">IF(OR($P$10=$N$14,$P$11=$N$14,$P$12=$N$14,$P$9=$N$14,O10=100%),0,P10)</f>
        <v>#VALUE!</v>
      </c>
      <c r="S10" s="499" t="e">
        <f>R10</f>
        <v>#VALUE!</v>
      </c>
      <c r="T10" s="499"/>
      <c r="U10" s="32"/>
      <c r="V10" s="263" t="s">
        <v>45</v>
      </c>
      <c r="W10" s="33"/>
      <c r="X10" s="116" t="e">
        <f>IF((S9+S10+S11)&gt;X6,X6+S12,S9+S10+S11+S12)</f>
        <v>#VALUE!</v>
      </c>
    </row>
    <row r="11" spans="1:25" ht="19.149999999999999" customHeight="1" thickBot="1" x14ac:dyDescent="0.4">
      <c r="A11" s="533"/>
      <c r="B11" s="534"/>
      <c r="C11" s="534"/>
      <c r="D11" s="534"/>
      <c r="E11" s="534"/>
      <c r="F11" s="534"/>
      <c r="G11" s="534"/>
      <c r="H11" s="535"/>
      <c r="I11" s="19" t="s">
        <v>48</v>
      </c>
      <c r="J11" s="18"/>
      <c r="K11" s="15" t="e">
        <f>IF(K10&lt;B35+B34+B36+B33,K10,B35+B34+B36+B33)</f>
        <v>#VALUE!</v>
      </c>
      <c r="M11" s="94" t="s">
        <v>33</v>
      </c>
      <c r="N11" s="323" t="str">
        <f>IF(CDP!D$25="FR",CDP!C$25,"")</f>
        <v/>
      </c>
      <c r="O11" s="86" t="e">
        <f>N11/($N$19+0.00001)</f>
        <v>#VALUE!</v>
      </c>
      <c r="P11" s="87" t="e">
        <f t="shared" si="0"/>
        <v>#VALUE!</v>
      </c>
      <c r="Q11" s="86" t="e">
        <f t="shared" si="1"/>
        <v>#VALUE!</v>
      </c>
      <c r="R11" s="80" t="e">
        <f t="shared" si="2"/>
        <v>#VALUE!</v>
      </c>
      <c r="S11" s="499" t="e">
        <f>R11</f>
        <v>#VALUE!</v>
      </c>
      <c r="T11" s="499"/>
      <c r="U11" s="243"/>
      <c r="V11" s="263"/>
      <c r="W11" s="33"/>
      <c r="X11" s="116"/>
    </row>
    <row r="12" spans="1:25" ht="27" customHeight="1" thickBot="1" x14ac:dyDescent="0.4">
      <c r="A12" s="513" t="s">
        <v>99</v>
      </c>
      <c r="B12" s="514"/>
      <c r="C12" s="514"/>
      <c r="D12" s="514"/>
      <c r="E12" s="514"/>
      <c r="F12" s="515">
        <f>IF(CDP!F41&lt;1.5,K37+K38,"")</f>
        <v>0</v>
      </c>
      <c r="G12" s="516"/>
      <c r="H12" s="517"/>
      <c r="I12" s="19"/>
      <c r="J12" s="18"/>
      <c r="K12" s="15"/>
      <c r="M12" s="95" t="s">
        <v>36</v>
      </c>
      <c r="N12" s="324" t="str">
        <f>IF(CDP!D26="FR",CDP!C26,"")</f>
        <v/>
      </c>
      <c r="O12" s="86" t="e">
        <f>N12/($N$19+0.00001)</f>
        <v>#VALUE!</v>
      </c>
      <c r="P12" s="87" t="e">
        <f t="shared" si="0"/>
        <v>#VALUE!</v>
      </c>
      <c r="Q12" s="86" t="e">
        <f t="shared" si="1"/>
        <v>#VALUE!</v>
      </c>
      <c r="R12" s="80" t="e">
        <f t="shared" si="2"/>
        <v>#VALUE!</v>
      </c>
      <c r="S12" s="499" t="e">
        <f>R12</f>
        <v>#VALUE!</v>
      </c>
      <c r="T12" s="499"/>
      <c r="U12" s="108"/>
      <c r="V12" s="263"/>
      <c r="W12" s="33"/>
      <c r="X12" s="116"/>
    </row>
    <row r="13" spans="1:25" ht="31.9" customHeight="1" thickBot="1" x14ac:dyDescent="0.4">
      <c r="A13" s="513" t="s">
        <v>95</v>
      </c>
      <c r="B13" s="514"/>
      <c r="C13" s="514"/>
      <c r="D13" s="514"/>
      <c r="E13" s="554"/>
      <c r="F13" s="515">
        <f>IF(CDP!F41&lt;1.5,K43,"")</f>
        <v>0</v>
      </c>
      <c r="G13" s="516"/>
      <c r="H13" s="517"/>
      <c r="I13" s="26" t="s">
        <v>55</v>
      </c>
      <c r="J13" s="18"/>
      <c r="K13" s="27" t="e">
        <f>IF(K11=0,0,K11*100/K15)</f>
        <v>#VALUE!</v>
      </c>
      <c r="M13" s="325"/>
      <c r="N13" s="326"/>
      <c r="O13" s="608" t="s">
        <v>40</v>
      </c>
      <c r="P13" s="608"/>
      <c r="Q13" s="608"/>
      <c r="R13" s="608"/>
      <c r="S13" s="109" t="e">
        <f>IF(R4=0,0,S12*100/R4)</f>
        <v>#VALUE!</v>
      </c>
      <c r="T13" s="25" t="s">
        <v>41</v>
      </c>
      <c r="U13" s="243"/>
      <c r="V13" s="34"/>
      <c r="W13" s="33"/>
      <c r="X13" s="116"/>
    </row>
    <row r="14" spans="1:25" ht="28.9" customHeight="1" thickBot="1" x14ac:dyDescent="0.4">
      <c r="A14" s="518" t="s">
        <v>67</v>
      </c>
      <c r="B14" s="519"/>
      <c r="C14" s="519"/>
      <c r="D14" s="519"/>
      <c r="E14" s="520"/>
      <c r="F14" s="521">
        <f>IF(CDP!F41&lt;1.5,K40,"")</f>
        <v>0</v>
      </c>
      <c r="G14" s="522"/>
      <c r="H14" s="523"/>
      <c r="I14" s="26" t="s">
        <v>59</v>
      </c>
      <c r="J14" s="18"/>
      <c r="K14" s="21" t="e">
        <f>IF(K11=0,0,IF(K13&gt;20,0.25*K15-0.25*K11,K11))</f>
        <v>#VALUE!</v>
      </c>
      <c r="M14" s="319" t="s">
        <v>37</v>
      </c>
      <c r="N14" s="320">
        <f>SUM(N9:N12)</f>
        <v>0</v>
      </c>
      <c r="O14" s="29"/>
      <c r="P14" s="29"/>
      <c r="Q14" s="249"/>
      <c r="R14" s="250"/>
      <c r="S14" s="32"/>
      <c r="T14" s="32"/>
      <c r="U14" s="243"/>
      <c r="V14" s="34"/>
      <c r="X14" s="116"/>
    </row>
    <row r="15" spans="1:25" ht="34.15" customHeight="1" thickBot="1" x14ac:dyDescent="0.4">
      <c r="A15" s="31"/>
      <c r="B15" s="31"/>
      <c r="C15" s="31"/>
      <c r="D15" s="31"/>
      <c r="E15" s="31"/>
      <c r="F15" s="31"/>
      <c r="G15" s="31"/>
      <c r="H15" s="31"/>
      <c r="I15" s="26" t="s">
        <v>64</v>
      </c>
      <c r="J15" s="18"/>
      <c r="K15" s="15" t="e">
        <f>G26+G30+K11</f>
        <v>#VALUE!</v>
      </c>
      <c r="M15" s="540"/>
      <c r="N15" s="540"/>
      <c r="O15" s="33"/>
      <c r="P15" s="541" t="s">
        <v>43</v>
      </c>
      <c r="Q15" s="542"/>
      <c r="R15" s="543"/>
      <c r="S15" s="544" t="e">
        <f>X10</f>
        <v>#VALUE!</v>
      </c>
      <c r="T15" s="545"/>
      <c r="U15" s="243"/>
      <c r="V15" s="263" t="s">
        <v>21</v>
      </c>
      <c r="W15" s="264"/>
      <c r="X15" s="116" t="e">
        <f>S15*20/80</f>
        <v>#VALUE!</v>
      </c>
    </row>
    <row r="16" spans="1:25" ht="22.15" customHeight="1" x14ac:dyDescent="0.35">
      <c r="A16" s="493" t="s">
        <v>151</v>
      </c>
      <c r="B16" s="494"/>
      <c r="C16" s="494"/>
      <c r="D16" s="494"/>
      <c r="E16" s="494"/>
      <c r="F16" s="494"/>
      <c r="G16" s="494"/>
      <c r="H16" s="495"/>
      <c r="I16" s="26" t="s">
        <v>68</v>
      </c>
      <c r="J16" s="37"/>
      <c r="K16" s="15" t="e">
        <f>G26+G30+K14</f>
        <v>#VALUE!</v>
      </c>
      <c r="M16" s="317" t="s">
        <v>34</v>
      </c>
      <c r="N16" s="327" t="str">
        <f>IF(CDP!D27="FR",CDP!C27,"")</f>
        <v/>
      </c>
      <c r="O16" s="132"/>
      <c r="P16" s="546" t="s">
        <v>52</v>
      </c>
      <c r="Q16" s="547"/>
      <c r="R16" s="548"/>
      <c r="S16" s="35" t="e">
        <f>IF(R4=0,0,S15*100/R4)</f>
        <v>#VALUE!</v>
      </c>
      <c r="T16" s="36" t="s">
        <v>41</v>
      </c>
      <c r="U16" s="108"/>
      <c r="V16" s="263" t="s">
        <v>24</v>
      </c>
      <c r="W16" s="33"/>
      <c r="X16" s="116" t="str">
        <f>N17</f>
        <v/>
      </c>
    </row>
    <row r="17" spans="1:25" ht="28.9" customHeight="1" thickBot="1" x14ac:dyDescent="0.4">
      <c r="A17" s="496"/>
      <c r="B17" s="497"/>
      <c r="C17" s="497"/>
      <c r="D17" s="497"/>
      <c r="E17" s="497"/>
      <c r="F17" s="497"/>
      <c r="G17" s="497"/>
      <c r="H17" s="498"/>
      <c r="I17" s="19"/>
      <c r="J17" s="37"/>
      <c r="K17" s="24"/>
      <c r="M17" s="150" t="s">
        <v>54</v>
      </c>
      <c r="N17" s="318" t="str">
        <f>N16</f>
        <v/>
      </c>
      <c r="O17" s="132"/>
      <c r="P17" s="549" t="s">
        <v>51</v>
      </c>
      <c r="Q17" s="550"/>
      <c r="R17" s="551"/>
      <c r="S17" s="552" t="e">
        <f>IF(N14&lt;S15,0,N14-S15)</f>
        <v>#VALUE!</v>
      </c>
      <c r="T17" s="553"/>
      <c r="U17" s="257"/>
      <c r="V17" s="263" t="s">
        <v>29</v>
      </c>
      <c r="W17" s="33"/>
      <c r="X17" s="116" t="e">
        <f>IF((S15*100/R4)&gt;80,100-(S15*100/R4),20)</f>
        <v>#VALUE!</v>
      </c>
    </row>
    <row r="18" spans="1:25" ht="31.15" customHeight="1" thickBot="1" x14ac:dyDescent="0.4">
      <c r="A18" s="506" t="s">
        <v>149</v>
      </c>
      <c r="B18" s="507"/>
      <c r="C18" s="507"/>
      <c r="D18" s="507"/>
      <c r="E18" s="507"/>
      <c r="F18" s="507"/>
      <c r="G18" s="507"/>
      <c r="H18" s="508"/>
      <c r="I18" s="38" t="s">
        <v>74</v>
      </c>
      <c r="J18" s="37"/>
      <c r="K18" s="15" t="e">
        <f>(B34+B35+B36)-(1/0.9)*(B34+B35+B36)+(0.1/0.9)*(G26+G30+B34+B35+B36+B33)</f>
        <v>#VALUE!</v>
      </c>
      <c r="M18" s="316"/>
      <c r="N18" s="328"/>
      <c r="O18" s="132"/>
      <c r="P18" s="571"/>
      <c r="Q18" s="571"/>
      <c r="R18" s="571"/>
      <c r="S18" s="572"/>
      <c r="T18" s="572"/>
      <c r="U18" s="243"/>
      <c r="V18" s="263" t="s">
        <v>35</v>
      </c>
      <c r="W18" s="33"/>
      <c r="X18" s="116" t="e">
        <f>IF(N17&gt;X15,X15,N17)</f>
        <v>#VALUE!</v>
      </c>
    </row>
    <row r="19" spans="1:25" ht="43.15" customHeight="1" thickBot="1" x14ac:dyDescent="0.4">
      <c r="A19" s="321" t="s">
        <v>4</v>
      </c>
      <c r="B19" s="52" t="s">
        <v>5</v>
      </c>
      <c r="C19" s="331" t="s">
        <v>6</v>
      </c>
      <c r="D19" s="331" t="s">
        <v>7</v>
      </c>
      <c r="E19" s="331" t="s">
        <v>8</v>
      </c>
      <c r="F19" s="331" t="s">
        <v>9</v>
      </c>
      <c r="G19" s="512" t="s">
        <v>10</v>
      </c>
      <c r="H19" s="512"/>
      <c r="I19" s="26" t="s">
        <v>78</v>
      </c>
      <c r="J19" s="37"/>
      <c r="K19" s="24" t="e">
        <f>IF(K18=0,0,IF(B34+B35+B36&gt;K18,K18,B34+B35+B36))</f>
        <v>#VALUE!</v>
      </c>
      <c r="M19" s="98" t="s">
        <v>61</v>
      </c>
      <c r="N19" s="99" t="e">
        <f>N17+N14</f>
        <v>#VALUE!</v>
      </c>
      <c r="O19" s="132"/>
      <c r="P19" s="577" t="s">
        <v>57</v>
      </c>
      <c r="Q19" s="578"/>
      <c r="R19" s="579"/>
      <c r="S19" s="580" t="e">
        <f>X18</f>
        <v>#VALUE!</v>
      </c>
      <c r="T19" s="581"/>
      <c r="U19" s="244"/>
      <c r="V19" s="137"/>
      <c r="W19" s="265"/>
      <c r="X19" s="116"/>
    </row>
    <row r="20" spans="1:25" ht="18" x14ac:dyDescent="0.35">
      <c r="A20" s="72" t="s">
        <v>23</v>
      </c>
      <c r="B20" s="329" t="str">
        <f>IF(CDP!D23="FR",CDP!C6-CDP!C23,"ERREUR")</f>
        <v>ERREUR</v>
      </c>
      <c r="C20" s="86" t="e">
        <f>B20/($B$38+0.00001)</f>
        <v>#VALUE!</v>
      </c>
      <c r="D20" s="87" t="e">
        <f>IF(C20&lt;90%,B20,9*(B21+B22+B23+B24))</f>
        <v>#VALUE!</v>
      </c>
      <c r="E20" s="86" t="e">
        <f>G20/(F$4+0.00001)</f>
        <v>#VALUE!</v>
      </c>
      <c r="F20" s="80" t="e">
        <f>IF(OR($D$20=$B$25,$D$21=$B$25,$D$22=$B$25,$D$23=$B$25,$D$24=B25,C20=100%),0,D20)</f>
        <v>#VALUE!</v>
      </c>
      <c r="G20" s="499" t="e">
        <f>F20</f>
        <v>#VALUE!</v>
      </c>
      <c r="H20" s="499"/>
      <c r="I20" s="26" t="s">
        <v>81</v>
      </c>
      <c r="J20" s="37"/>
      <c r="K20" s="24" t="e">
        <f>IF(K19&gt;K14,K14,K19)</f>
        <v>#VALUE!</v>
      </c>
      <c r="M20" s="250"/>
      <c r="N20" s="250"/>
      <c r="O20" s="29"/>
      <c r="P20" s="546" t="s">
        <v>62</v>
      </c>
      <c r="Q20" s="547"/>
      <c r="R20" s="548"/>
      <c r="S20" s="35" t="e">
        <f>IF(R4=0,0,S19*100/R4)</f>
        <v>#VALUE!</v>
      </c>
      <c r="T20" s="36" t="s">
        <v>41</v>
      </c>
      <c r="U20" s="244"/>
      <c r="V20" s="137"/>
      <c r="W20" s="265"/>
      <c r="X20" s="116"/>
    </row>
    <row r="21" spans="1:25" ht="22.9" customHeight="1" thickBot="1" x14ac:dyDescent="0.4">
      <c r="A21" s="72" t="s">
        <v>28</v>
      </c>
      <c r="B21" s="329" t="str">
        <f>IF(CDP!D24="FR",CDP!C7-CDP!C24,"ERREUR")</f>
        <v>ERREUR</v>
      </c>
      <c r="C21" s="86" t="e">
        <f t="shared" ref="C21:C24" si="3">B21/($B$38+0.00001)</f>
        <v>#VALUE!</v>
      </c>
      <c r="D21" s="87" t="e">
        <f>IF(C21&lt;90%,B21,9*(B22+B23+B24+B20))</f>
        <v>#VALUE!</v>
      </c>
      <c r="E21" s="86" t="e">
        <f t="shared" ref="E21:E24" si="4">G21/(F$4+0.00001)</f>
        <v>#VALUE!</v>
      </c>
      <c r="F21" s="80" t="e">
        <f>IF(OR($D$20=$B$25,$D$21=$B$25,$D$22=$B$25,$D$23=$B$25,$D$24=$B$25,C21=100%),0,D21)</f>
        <v>#VALUE!</v>
      </c>
      <c r="G21" s="499" t="e">
        <f>F21</f>
        <v>#VALUE!</v>
      </c>
      <c r="H21" s="499"/>
      <c r="I21" s="26" t="s">
        <v>84</v>
      </c>
      <c r="J21" s="37"/>
      <c r="K21" s="41" t="e">
        <f>K14-K20</f>
        <v>#VALUE!</v>
      </c>
      <c r="M21" s="250"/>
      <c r="N21" s="250"/>
      <c r="O21" s="322"/>
      <c r="P21" s="564" t="s">
        <v>67</v>
      </c>
      <c r="Q21" s="565"/>
      <c r="R21" s="566"/>
      <c r="S21" s="567" t="e">
        <f>IF(N17&lt;S19,0,N17-S19)</f>
        <v>#VALUE!</v>
      </c>
      <c r="T21" s="568"/>
      <c r="U21" s="244"/>
      <c r="V21" s="137"/>
      <c r="W21" s="265"/>
      <c r="X21" s="266"/>
    </row>
    <row r="22" spans="1:25" ht="18" x14ac:dyDescent="0.35">
      <c r="A22" s="72" t="s">
        <v>33</v>
      </c>
      <c r="B22" s="329" t="str">
        <f>IF(CDP!D25="FR",CDP!C8-CDP!C25,"ERREUR")</f>
        <v>ERREUR</v>
      </c>
      <c r="C22" s="86" t="e">
        <f t="shared" si="3"/>
        <v>#VALUE!</v>
      </c>
      <c r="D22" s="87" t="e">
        <f>IF(C22&lt;90%,B22,9*(B23+B24+B21+B20))</f>
        <v>#VALUE!</v>
      </c>
      <c r="E22" s="86" t="e">
        <f t="shared" si="4"/>
        <v>#VALUE!</v>
      </c>
      <c r="F22" s="80" t="e">
        <f t="shared" ref="F22:F24" si="5">IF(OR($D$20=$B$25,$D$21=$B$25,$D$22=$B$25,$D$23=$B$25,$D$24=$B$25,C22=100%),0,D22)</f>
        <v>#VALUE!</v>
      </c>
      <c r="G22" s="499" t="e">
        <f>F22</f>
        <v>#VALUE!</v>
      </c>
      <c r="H22" s="499"/>
      <c r="I22" s="26" t="s">
        <v>87</v>
      </c>
      <c r="J22" s="37"/>
      <c r="K22" s="24" t="e">
        <f>IF(B33=0,0,IF(B33&gt;K21,K21,B33))</f>
        <v>#VALUE!</v>
      </c>
      <c r="M22" s="105"/>
      <c r="N22" s="34"/>
      <c r="O22" s="34"/>
      <c r="P22" s="604"/>
      <c r="Q22" s="604"/>
      <c r="R22" s="604"/>
      <c r="S22" s="605"/>
      <c r="T22" s="605"/>
      <c r="U22" s="108"/>
      <c r="V22" s="137"/>
      <c r="W22" s="265"/>
      <c r="X22" s="116"/>
    </row>
    <row r="23" spans="1:25" ht="18.5" thickBot="1" x14ac:dyDescent="0.4">
      <c r="A23" s="72" t="s">
        <v>36</v>
      </c>
      <c r="B23" s="329" t="str">
        <f>IF(CDP!D26="FR",CDP!C9-CDP!C26,"ERREUR")</f>
        <v>ERREUR</v>
      </c>
      <c r="C23" s="86" t="e">
        <f t="shared" si="3"/>
        <v>#VALUE!</v>
      </c>
      <c r="D23" s="87" t="e">
        <f>IF(C23&lt;90%,B23,9*(B20+B24+B22+B21))</f>
        <v>#VALUE!</v>
      </c>
      <c r="E23" s="86" t="e">
        <f t="shared" si="4"/>
        <v>#VALUE!</v>
      </c>
      <c r="F23" s="80" t="e">
        <f t="shared" si="5"/>
        <v>#VALUE!</v>
      </c>
      <c r="G23" s="499" t="e">
        <f>F23</f>
        <v>#VALUE!</v>
      </c>
      <c r="H23" s="499"/>
      <c r="I23" s="26" t="s">
        <v>90</v>
      </c>
      <c r="K23" s="24" t="e">
        <f>K22+K20</f>
        <v>#VALUE!</v>
      </c>
      <c r="M23" s="106"/>
      <c r="N23" s="29"/>
      <c r="O23" s="29"/>
      <c r="P23" s="586"/>
      <c r="Q23" s="586"/>
      <c r="R23" s="586"/>
      <c r="S23" s="107"/>
      <c r="T23" s="108"/>
      <c r="U23" s="243"/>
      <c r="V23" s="137"/>
      <c r="X23" s="116"/>
    </row>
    <row r="24" spans="1:25" ht="18" x14ac:dyDescent="0.35">
      <c r="A24" s="72" t="s">
        <v>34</v>
      </c>
      <c r="B24" s="329" t="str">
        <f>IF(CDP!D27="FR",CDP!C10-CDP!C27,"ERREUR")</f>
        <v>ERREUR</v>
      </c>
      <c r="C24" s="86" t="e">
        <f t="shared" si="3"/>
        <v>#VALUE!</v>
      </c>
      <c r="D24" s="87" t="e">
        <f>IF(C24&lt;90%,B24,9*(B23+B20+B21+B22))</f>
        <v>#VALUE!</v>
      </c>
      <c r="E24" s="86" t="e">
        <f t="shared" si="4"/>
        <v>#VALUE!</v>
      </c>
      <c r="F24" s="80" t="e">
        <f t="shared" si="5"/>
        <v>#VALUE!</v>
      </c>
      <c r="G24" s="499" t="e">
        <f>F24</f>
        <v>#VALUE!</v>
      </c>
      <c r="H24" s="499"/>
      <c r="I24" s="38" t="s">
        <v>68</v>
      </c>
      <c r="K24" s="15" t="e">
        <f>G26+G30+K23</f>
        <v>#VALUE!</v>
      </c>
      <c r="M24" s="589" t="s">
        <v>93</v>
      </c>
      <c r="N24" s="590"/>
      <c r="O24" s="590"/>
      <c r="P24" s="590"/>
      <c r="Q24" s="590"/>
      <c r="R24" s="590"/>
      <c r="S24" s="590"/>
      <c r="T24" s="591"/>
      <c r="U24" s="244"/>
      <c r="V24" s="137"/>
      <c r="X24" s="116"/>
    </row>
    <row r="25" spans="1:25" ht="24.65" customHeight="1" thickBot="1" x14ac:dyDescent="0.4">
      <c r="A25" s="73" t="s">
        <v>37</v>
      </c>
      <c r="B25" s="28">
        <f>SUM(B20:B24)</f>
        <v>0</v>
      </c>
      <c r="C25" s="29"/>
      <c r="D25" s="29"/>
      <c r="E25" s="249"/>
      <c r="F25" s="250"/>
      <c r="G25" s="32"/>
      <c r="H25" s="32"/>
      <c r="I25" s="26"/>
      <c r="K25" s="15"/>
      <c r="M25" s="592"/>
      <c r="N25" s="593"/>
      <c r="O25" s="593"/>
      <c r="P25" s="593"/>
      <c r="Q25" s="593"/>
      <c r="R25" s="593"/>
      <c r="S25" s="593"/>
      <c r="T25" s="594"/>
      <c r="U25" s="241"/>
      <c r="V25" s="137"/>
      <c r="X25" s="116"/>
    </row>
    <row r="26" spans="1:25" ht="28.15" customHeight="1" thickBot="1" x14ac:dyDescent="0.4">
      <c r="A26" s="609"/>
      <c r="B26" s="609"/>
      <c r="C26" s="33"/>
      <c r="D26" s="536" t="s">
        <v>43</v>
      </c>
      <c r="E26" s="537"/>
      <c r="F26" s="537"/>
      <c r="G26" s="538" t="e">
        <f>SUM(G20:G24)</f>
        <v>#VALUE!</v>
      </c>
      <c r="H26" s="539"/>
      <c r="I26" s="26" t="s">
        <v>96</v>
      </c>
      <c r="K26" s="24" t="e">
        <f>0.1*K24</f>
        <v>#VALUE!</v>
      </c>
      <c r="M26" s="513" t="s">
        <v>103</v>
      </c>
      <c r="N26" s="514"/>
      <c r="O26" s="514"/>
      <c r="P26" s="514"/>
      <c r="Q26" s="554"/>
      <c r="R26" s="555" t="e">
        <f>S34</f>
        <v>#VALUE!</v>
      </c>
      <c r="S26" s="556"/>
      <c r="T26" s="557"/>
      <c r="U26" s="241"/>
      <c r="V26" s="137"/>
      <c r="X26" s="116"/>
    </row>
    <row r="27" spans="1:25" ht="31.15" customHeight="1" thickBot="1" x14ac:dyDescent="0.4">
      <c r="A27" s="70" t="s">
        <v>46</v>
      </c>
      <c r="B27" s="330" t="str">
        <f>IF(CDP!D28="FR",CDP!C12-CDP!C28,"ERREUR")</f>
        <v>ERREUR</v>
      </c>
      <c r="C27" s="132"/>
      <c r="D27" s="558" t="s">
        <v>50</v>
      </c>
      <c r="E27" s="559"/>
      <c r="F27" s="559"/>
      <c r="G27" s="35" t="e">
        <f>IF(F4=0,0,G26*100/F4)</f>
        <v>#VALUE!</v>
      </c>
      <c r="H27" s="36" t="s">
        <v>41</v>
      </c>
      <c r="I27" s="26" t="s">
        <v>78</v>
      </c>
      <c r="K27" s="21" t="e">
        <f>IF(K26=0,0,IF(B34+B35+B36&gt;K26,K26,B34+B35+B36))</f>
        <v>#VALUE!</v>
      </c>
      <c r="M27" s="518" t="s">
        <v>105</v>
      </c>
      <c r="N27" s="519"/>
      <c r="O27" s="519"/>
      <c r="P27" s="519"/>
      <c r="Q27" s="520"/>
      <c r="R27" s="597" t="e">
        <f>S36</f>
        <v>#VALUE!</v>
      </c>
      <c r="S27" s="598"/>
      <c r="T27" s="599"/>
      <c r="U27" s="241"/>
      <c r="V27" s="137"/>
      <c r="X27" s="116"/>
    </row>
    <row r="28" spans="1:25" ht="27.65" customHeight="1" thickBot="1" x14ac:dyDescent="0.4">
      <c r="A28" s="70" t="s">
        <v>49</v>
      </c>
      <c r="B28" s="329" t="str">
        <f>IF(CDP!D29="FR",CDP!C13-CDP!C29,"ERREUR")</f>
        <v>ERREUR</v>
      </c>
      <c r="C28" s="132"/>
      <c r="D28" s="582" t="s">
        <v>51</v>
      </c>
      <c r="E28" s="583"/>
      <c r="F28" s="583"/>
      <c r="G28" s="584" t="e">
        <f>IF(B25&lt;G26,0,B25-G26)</f>
        <v>#VALUE!</v>
      </c>
      <c r="H28" s="585"/>
      <c r="I28" s="26"/>
      <c r="K28" s="15"/>
      <c r="L28" s="92"/>
      <c r="M28" s="616" t="s">
        <v>4</v>
      </c>
      <c r="N28" s="617" t="s">
        <v>12</v>
      </c>
      <c r="O28" s="512" t="s">
        <v>6</v>
      </c>
      <c r="P28" s="512" t="s">
        <v>13</v>
      </c>
      <c r="Q28" s="512" t="s">
        <v>8</v>
      </c>
      <c r="R28" s="614"/>
      <c r="S28" s="614"/>
      <c r="T28" s="614"/>
      <c r="U28" s="241"/>
      <c r="V28" s="137"/>
      <c r="X28" s="116"/>
    </row>
    <row r="29" spans="1:25" ht="21" customHeight="1" thickBot="1" x14ac:dyDescent="0.4">
      <c r="A29" s="74" t="s">
        <v>58</v>
      </c>
      <c r="B29" s="329">
        <f>CDP!C14</f>
        <v>0</v>
      </c>
      <c r="C29" s="132"/>
      <c r="D29" s="569"/>
      <c r="E29" s="569"/>
      <c r="F29" s="569"/>
      <c r="G29" s="570"/>
      <c r="H29" s="570"/>
      <c r="I29" s="26" t="s">
        <v>84</v>
      </c>
      <c r="K29" s="15" t="e">
        <f>K14-K27</f>
        <v>#VALUE!</v>
      </c>
      <c r="M29" s="616"/>
      <c r="N29" s="617"/>
      <c r="O29" s="512"/>
      <c r="P29" s="512"/>
      <c r="Q29" s="512"/>
      <c r="R29" s="614"/>
      <c r="S29" s="614"/>
      <c r="T29" s="614"/>
      <c r="U29" s="240"/>
      <c r="V29" s="137"/>
      <c r="X29" s="116"/>
      <c r="Y29" s="92"/>
    </row>
    <row r="30" spans="1:25" ht="33" customHeight="1" x14ac:dyDescent="0.35">
      <c r="A30" s="70" t="s">
        <v>63</v>
      </c>
      <c r="B30" s="329">
        <f>CDP!C15</f>
        <v>0</v>
      </c>
      <c r="C30" s="132"/>
      <c r="D30" s="573" t="s">
        <v>57</v>
      </c>
      <c r="E30" s="574"/>
      <c r="F30" s="574"/>
      <c r="G30" s="575" t="e">
        <f>K8</f>
        <v>#VALUE!</v>
      </c>
      <c r="H30" s="576"/>
      <c r="I30" s="26" t="s">
        <v>87</v>
      </c>
      <c r="K30" s="15" t="e">
        <f>IF(B33=0,0,IF(B33&gt;K29,K29,B33))</f>
        <v>#VALUE!</v>
      </c>
      <c r="M30" s="90" t="s">
        <v>23</v>
      </c>
      <c r="N30" s="140" t="str">
        <f>IF(CDP!D$23="FR",CDP!C$23,"")</f>
        <v/>
      </c>
      <c r="O30" s="81" t="e">
        <f>N30/($N$33+0.00001)</f>
        <v>#VALUE!</v>
      </c>
      <c r="P30" s="87" t="e">
        <f>IF(O30&lt;60%,N30,1.5*(N31+N32))</f>
        <v>#VALUE!</v>
      </c>
      <c r="Q30" s="86" t="e">
        <f>P30/(R$26+0.00001)</f>
        <v>#VALUE!</v>
      </c>
      <c r="R30" s="34"/>
      <c r="S30" s="615"/>
      <c r="T30" s="615"/>
      <c r="U30" s="242"/>
      <c r="V30" s="137"/>
      <c r="X30" s="116"/>
    </row>
    <row r="31" spans="1:25" ht="18" x14ac:dyDescent="0.35">
      <c r="A31" s="75" t="s">
        <v>54</v>
      </c>
      <c r="B31" s="8">
        <f>SUM(B27:B30)</f>
        <v>0</v>
      </c>
      <c r="C31" s="29"/>
      <c r="D31" s="558" t="s">
        <v>50</v>
      </c>
      <c r="E31" s="559"/>
      <c r="F31" s="559"/>
      <c r="G31" s="35" t="e">
        <f>IF(F4=0,0,G30*100/F4)</f>
        <v>#VALUE!</v>
      </c>
      <c r="H31" s="36" t="s">
        <v>41</v>
      </c>
      <c r="I31" s="26" t="s">
        <v>90</v>
      </c>
      <c r="K31" s="21" t="e">
        <f>K30+K27</f>
        <v>#VALUE!</v>
      </c>
      <c r="M31" s="91" t="s">
        <v>28</v>
      </c>
      <c r="N31" s="167" t="str">
        <f>IF(CDP!D$24="FR",CDP!C$24,"")</f>
        <v/>
      </c>
      <c r="O31" s="81" t="e">
        <f t="shared" ref="O31:O32" si="6">N31/($N$33+0.00001)</f>
        <v>#VALUE!</v>
      </c>
      <c r="P31" s="87" t="e">
        <f>IF(O31&lt;60%,N31,1.5*(N32+N30))</f>
        <v>#VALUE!</v>
      </c>
      <c r="Q31" s="86" t="e">
        <f>P31/(R$26+0.00001)</f>
        <v>#VALUE!</v>
      </c>
      <c r="R31" s="34"/>
      <c r="S31" s="615"/>
      <c r="T31" s="615"/>
      <c r="U31" s="242"/>
      <c r="V31" s="137"/>
      <c r="X31" s="116"/>
    </row>
    <row r="32" spans="1:25" ht="18.5" thickBot="1" x14ac:dyDescent="0.4">
      <c r="A32" s="325"/>
      <c r="B32" s="325"/>
      <c r="C32" s="322"/>
      <c r="D32" s="560" t="s">
        <v>67</v>
      </c>
      <c r="E32" s="561"/>
      <c r="F32" s="561"/>
      <c r="G32" s="562" t="e">
        <f>IF(B31&lt;G30,0,B31-G30)</f>
        <v>#VALUE!</v>
      </c>
      <c r="H32" s="563"/>
      <c r="I32" s="38"/>
      <c r="K32" s="15"/>
      <c r="M32" s="91" t="s">
        <v>33</v>
      </c>
      <c r="N32" s="167" t="str">
        <f>IF(CDP!D$25="FR",CDP!C$25,"")</f>
        <v/>
      </c>
      <c r="O32" s="81" t="e">
        <f t="shared" si="6"/>
        <v>#VALUE!</v>
      </c>
      <c r="P32" s="87" t="e">
        <f>IF(O32&lt;60%,N32,1.5*(N31+N30))</f>
        <v>#VALUE!</v>
      </c>
      <c r="Q32" s="86" t="e">
        <f>P32/(R$26+0.00001)</f>
        <v>#VALUE!</v>
      </c>
      <c r="R32" s="34"/>
      <c r="S32" s="615"/>
      <c r="T32" s="615"/>
      <c r="U32" s="242"/>
      <c r="V32" s="137"/>
      <c r="X32" s="116"/>
    </row>
    <row r="33" spans="1:27" ht="22.15" customHeight="1" thickBot="1" x14ac:dyDescent="0.4">
      <c r="A33" s="76" t="s">
        <v>66</v>
      </c>
      <c r="B33" s="330" t="str">
        <f>IF(CDP!D30="FR",CDP!C17-CDP!C30,"ERREUR")</f>
        <v>ERREUR</v>
      </c>
      <c r="C33" s="132"/>
      <c r="D33" s="569"/>
      <c r="E33" s="569"/>
      <c r="F33" s="569"/>
      <c r="G33" s="570"/>
      <c r="H33" s="570"/>
      <c r="K33" s="15"/>
      <c r="M33" s="146" t="s">
        <v>37</v>
      </c>
      <c r="N33" s="158">
        <f>SUM(N30:N32)</f>
        <v>0</v>
      </c>
      <c r="O33" s="29"/>
      <c r="P33" s="29"/>
      <c r="Q33" s="30"/>
      <c r="R33" s="31"/>
      <c r="S33" s="32"/>
      <c r="T33" s="32"/>
      <c r="U33" s="32"/>
      <c r="V33" s="34"/>
      <c r="X33" s="116"/>
    </row>
    <row r="34" spans="1:27" ht="31.15" customHeight="1" x14ac:dyDescent="0.35">
      <c r="A34" s="69" t="s">
        <v>70</v>
      </c>
      <c r="B34" s="329" t="str">
        <f>IF(CDP!D31="FR",CDP!C18-CDP!C31,"ERREUR")</f>
        <v>ERREUR</v>
      </c>
      <c r="C34" s="132"/>
      <c r="D34" s="606" t="s">
        <v>76</v>
      </c>
      <c r="E34" s="607"/>
      <c r="F34" s="607"/>
      <c r="G34" s="538" t="e">
        <f>IF(OR(K22&gt;K21,K22=K21),K23,K31)</f>
        <v>#VALUE!</v>
      </c>
      <c r="H34" s="539"/>
      <c r="I34" s="23" t="s">
        <v>100</v>
      </c>
      <c r="K34" s="15"/>
      <c r="M34" s="613"/>
      <c r="N34" s="613"/>
      <c r="O34" s="33"/>
      <c r="P34" s="541" t="s">
        <v>43</v>
      </c>
      <c r="Q34" s="542"/>
      <c r="R34" s="543"/>
      <c r="S34" s="544" t="e">
        <f>SUM(P30:P32)</f>
        <v>#VALUE!</v>
      </c>
      <c r="T34" s="545"/>
      <c r="U34" s="243"/>
      <c r="V34" s="34"/>
      <c r="X34" s="116"/>
    </row>
    <row r="35" spans="1:27" ht="23.5" customHeight="1" x14ac:dyDescent="0.35">
      <c r="A35" s="69" t="s">
        <v>72</v>
      </c>
      <c r="B35" s="329" t="str">
        <f>IF(CDP!D32="FR",CDP!C19-CDP!C32,"ERREUR")</f>
        <v>ERREUR</v>
      </c>
      <c r="C35" s="132"/>
      <c r="D35" s="558" t="s">
        <v>50</v>
      </c>
      <c r="E35" s="559"/>
      <c r="F35" s="559"/>
      <c r="G35" s="35" t="e">
        <f>IF(F4=0,0,G34*100/F4)</f>
        <v>#VALUE!</v>
      </c>
      <c r="H35" s="36" t="s">
        <v>41</v>
      </c>
      <c r="I35" s="26" t="s">
        <v>101</v>
      </c>
      <c r="K35" s="15">
        <f>B25</f>
        <v>0</v>
      </c>
      <c r="M35" s="100"/>
      <c r="N35" s="132"/>
      <c r="O35" s="132"/>
      <c r="P35" s="546" t="s">
        <v>50</v>
      </c>
      <c r="Q35" s="547"/>
      <c r="R35" s="548"/>
      <c r="S35" s="35" t="e">
        <f>IF(R26=0,0,S34*100/R26)</f>
        <v>#VALUE!</v>
      </c>
      <c r="T35" s="36" t="s">
        <v>41</v>
      </c>
      <c r="U35" s="108"/>
      <c r="V35" s="34"/>
      <c r="X35" s="116"/>
    </row>
    <row r="36" spans="1:27" ht="22.15" customHeight="1" thickBot="1" x14ac:dyDescent="0.4">
      <c r="A36" s="69" t="s">
        <v>75</v>
      </c>
      <c r="B36" s="329" t="str">
        <f>IF(CDP!D33="FR",CDP!C20-CDP!C33,"ERREUR")</f>
        <v>ERREUR</v>
      </c>
      <c r="C36" s="132"/>
      <c r="D36" s="600" t="s">
        <v>83</v>
      </c>
      <c r="E36" s="601"/>
      <c r="F36" s="601"/>
      <c r="G36" s="602" t="e">
        <f>IF(OR(K22&gt;K21,K22=K21),K20,K27)</f>
        <v>#VALUE!</v>
      </c>
      <c r="H36" s="603"/>
      <c r="I36" s="26" t="s">
        <v>102</v>
      </c>
      <c r="K36" s="15">
        <f>B37+B31</f>
        <v>0</v>
      </c>
      <c r="M36" s="100"/>
      <c r="N36" s="132"/>
      <c r="O36" s="132"/>
      <c r="P36" s="549" t="s">
        <v>51</v>
      </c>
      <c r="Q36" s="550"/>
      <c r="R36" s="551"/>
      <c r="S36" s="552" t="e">
        <f>IF(N33&lt;S34,0,N33-S34)</f>
        <v>#VALUE!</v>
      </c>
      <c r="T36" s="553"/>
      <c r="U36" s="243"/>
      <c r="V36" s="34"/>
      <c r="X36" s="116"/>
    </row>
    <row r="37" spans="1:27" ht="28.15" customHeight="1" x14ac:dyDescent="0.35">
      <c r="A37" s="77" t="s">
        <v>80</v>
      </c>
      <c r="B37" s="8">
        <f>SUM(B33:B36)</f>
        <v>0</v>
      </c>
      <c r="C37" s="29"/>
      <c r="D37" s="558" t="s">
        <v>50</v>
      </c>
      <c r="E37" s="559"/>
      <c r="F37" s="559"/>
      <c r="G37" s="35" t="e">
        <f>IF(F4=0,0,G36*100/F4)</f>
        <v>#VALUE!</v>
      </c>
      <c r="H37" s="36" t="s">
        <v>41</v>
      </c>
      <c r="I37" s="26" t="s">
        <v>45</v>
      </c>
      <c r="K37" s="15">
        <f>B25</f>
        <v>0</v>
      </c>
      <c r="M37" s="610"/>
      <c r="N37" s="610"/>
      <c r="O37" s="610"/>
      <c r="P37" s="610"/>
      <c r="Q37" s="610"/>
      <c r="R37" s="611"/>
      <c r="S37" s="611"/>
      <c r="T37" s="611"/>
      <c r="U37" s="244"/>
      <c r="V37" s="34"/>
      <c r="X37" s="116"/>
    </row>
    <row r="38" spans="1:27" ht="28.9" customHeight="1" thickBot="1" x14ac:dyDescent="0.4">
      <c r="A38" s="88" t="s">
        <v>61</v>
      </c>
      <c r="B38" s="89">
        <f>B37+B31+B25</f>
        <v>0</v>
      </c>
      <c r="C38" s="250"/>
      <c r="D38" s="587" t="s">
        <v>88</v>
      </c>
      <c r="E38" s="588"/>
      <c r="F38" s="588"/>
      <c r="G38" s="584" t="e">
        <f>IF(B37&lt;G34,0,B37-G34)</f>
        <v>#VALUE!</v>
      </c>
      <c r="H38" s="585"/>
      <c r="I38" s="26" t="s">
        <v>104</v>
      </c>
      <c r="K38" s="15">
        <f>IF(K36&gt;K37,K37,K36)</f>
        <v>0</v>
      </c>
      <c r="M38" s="132"/>
      <c r="N38" s="132"/>
      <c r="O38" s="132"/>
      <c r="P38" s="132"/>
      <c r="Q38" s="132"/>
      <c r="R38" s="132"/>
      <c r="S38" s="132"/>
      <c r="T38" s="132"/>
      <c r="U38" s="244"/>
      <c r="V38" s="34"/>
      <c r="X38" s="116"/>
    </row>
    <row r="39" spans="1:27" x14ac:dyDescent="0.35">
      <c r="A39" s="595"/>
      <c r="B39" s="595"/>
      <c r="C39" s="595"/>
      <c r="D39" s="595"/>
      <c r="E39" s="595"/>
      <c r="F39" s="596"/>
      <c r="G39" s="596"/>
      <c r="H39" s="596"/>
      <c r="I39" s="287" t="s">
        <v>106</v>
      </c>
      <c r="J39" s="286"/>
      <c r="K39" s="288">
        <f>IF(K36&gt;K37,K36-K37,0)</f>
        <v>0</v>
      </c>
      <c r="L39" s="286"/>
      <c r="M39" s="289"/>
      <c r="N39" s="289"/>
      <c r="O39" s="289"/>
      <c r="P39" s="289"/>
      <c r="Q39" s="289"/>
      <c r="R39" s="289"/>
      <c r="S39" s="289"/>
      <c r="T39" s="289"/>
      <c r="U39" s="239"/>
      <c r="V39" s="290"/>
      <c r="W39" s="286"/>
      <c r="X39" s="288"/>
      <c r="Y39" s="286"/>
      <c r="Z39" s="286"/>
      <c r="AA39" s="286"/>
    </row>
    <row r="40" spans="1:27" ht="16.149999999999999" customHeight="1" x14ac:dyDescent="0.35">
      <c r="A40" s="286"/>
      <c r="B40" s="286"/>
      <c r="C40" s="288"/>
      <c r="D40" s="286"/>
      <c r="E40" s="286"/>
      <c r="F40" s="286"/>
      <c r="G40" s="286"/>
      <c r="H40" s="286"/>
      <c r="I40" s="287" t="s">
        <v>107</v>
      </c>
      <c r="J40" s="234"/>
      <c r="K40" s="236">
        <f>IF(B16&gt;K38,B16-K38,0)</f>
        <v>0</v>
      </c>
      <c r="L40" s="286"/>
      <c r="M40" s="289"/>
      <c r="N40" s="289"/>
      <c r="O40" s="289"/>
      <c r="P40" s="289"/>
      <c r="Q40" s="289"/>
      <c r="R40" s="289"/>
      <c r="S40" s="289"/>
      <c r="T40" s="289"/>
      <c r="U40" s="286"/>
      <c r="V40" s="286"/>
      <c r="W40" s="286"/>
      <c r="X40" s="286"/>
      <c r="Y40" s="286"/>
      <c r="Z40" s="286"/>
      <c r="AA40" s="286"/>
    </row>
    <row r="41" spans="1:27" ht="16.149999999999999" customHeight="1" x14ac:dyDescent="0.35">
      <c r="A41" s="286"/>
      <c r="B41" s="286"/>
      <c r="C41" s="288"/>
      <c r="D41" s="286"/>
      <c r="E41" s="286"/>
      <c r="F41" s="286"/>
      <c r="G41" s="286"/>
      <c r="H41" s="286"/>
      <c r="I41" s="287" t="s">
        <v>108</v>
      </c>
      <c r="J41" s="234"/>
      <c r="K41" s="236">
        <f>IF(B31&gt;K38,K38,B31)</f>
        <v>0</v>
      </c>
      <c r="L41" s="286"/>
      <c r="M41" s="239"/>
      <c r="N41" s="291"/>
      <c r="O41" s="292"/>
      <c r="P41" s="293"/>
      <c r="Q41" s="289"/>
      <c r="R41" s="289"/>
      <c r="S41" s="289"/>
      <c r="T41" s="289"/>
      <c r="U41" s="286"/>
      <c r="V41" s="286"/>
      <c r="W41" s="286"/>
      <c r="X41" s="286"/>
      <c r="Y41" s="286"/>
      <c r="Z41" s="286"/>
      <c r="AA41" s="286"/>
    </row>
    <row r="42" spans="1:27" ht="16.149999999999999" customHeight="1" x14ac:dyDescent="0.35">
      <c r="A42" s="286"/>
      <c r="B42" s="286"/>
      <c r="C42" s="288"/>
      <c r="D42" s="286"/>
      <c r="E42" s="286"/>
      <c r="F42" s="286"/>
      <c r="G42" s="286"/>
      <c r="H42" s="286"/>
      <c r="I42" s="287" t="s">
        <v>109</v>
      </c>
      <c r="J42" s="234"/>
      <c r="K42" s="236">
        <f>IF(K41=K38,0,K38-K41)</f>
        <v>0</v>
      </c>
      <c r="L42" s="286"/>
      <c r="M42" s="289"/>
      <c r="N42" s="291"/>
      <c r="O42" s="294"/>
      <c r="P42" s="293"/>
      <c r="Q42" s="289"/>
      <c r="R42" s="289"/>
      <c r="S42" s="289"/>
      <c r="T42" s="289"/>
      <c r="U42" s="286"/>
      <c r="V42" s="286"/>
      <c r="W42" s="286"/>
      <c r="X42" s="286"/>
      <c r="Y42" s="286"/>
      <c r="Z42" s="286"/>
      <c r="AA42" s="286"/>
    </row>
    <row r="43" spans="1:27" x14ac:dyDescent="0.35">
      <c r="A43" s="286"/>
      <c r="B43" s="286"/>
      <c r="C43" s="288"/>
      <c r="D43" s="286"/>
      <c r="E43" s="286"/>
      <c r="F43" s="286"/>
      <c r="G43" s="286"/>
      <c r="H43" s="286"/>
      <c r="I43" s="287" t="s">
        <v>111</v>
      </c>
      <c r="J43" s="234"/>
      <c r="K43" s="236">
        <f>IF(K42&gt;0,B37-K42,B37)</f>
        <v>0</v>
      </c>
      <c r="L43" s="286"/>
      <c r="M43" s="289"/>
      <c r="N43" s="291"/>
      <c r="O43" s="294"/>
      <c r="P43" s="293"/>
      <c r="Q43" s="289"/>
      <c r="R43" s="289"/>
      <c r="S43" s="289"/>
      <c r="T43" s="289"/>
      <c r="U43" s="286"/>
      <c r="V43" s="286"/>
      <c r="W43" s="286"/>
      <c r="X43" s="286"/>
      <c r="Y43" s="286"/>
      <c r="Z43" s="286"/>
      <c r="AA43" s="286"/>
    </row>
    <row r="44" spans="1:27" ht="15" customHeight="1" x14ac:dyDescent="0.35">
      <c r="A44" s="286"/>
      <c r="B44" s="286"/>
      <c r="C44" s="288"/>
      <c r="D44" s="286"/>
      <c r="E44" s="286"/>
      <c r="F44" s="286"/>
      <c r="G44" s="286"/>
      <c r="H44" s="286"/>
      <c r="I44" s="286"/>
      <c r="J44" s="286"/>
      <c r="K44" s="286"/>
      <c r="L44" s="286"/>
      <c r="M44" s="289"/>
      <c r="N44" s="291"/>
      <c r="O44" s="294"/>
      <c r="P44" s="293"/>
      <c r="Q44" s="289"/>
      <c r="R44" s="289"/>
      <c r="S44" s="289"/>
      <c r="T44" s="289"/>
      <c r="U44" s="286"/>
      <c r="V44" s="286"/>
      <c r="W44" s="286"/>
      <c r="X44" s="286"/>
      <c r="Y44" s="286"/>
      <c r="Z44" s="286"/>
      <c r="AA44" s="286"/>
    </row>
    <row r="45" spans="1:27" ht="15.65" customHeight="1" x14ac:dyDescent="0.35">
      <c r="A45" s="286"/>
      <c r="B45" s="286"/>
      <c r="C45" s="288"/>
      <c r="D45" s="286"/>
      <c r="E45" s="286"/>
      <c r="F45" s="286"/>
      <c r="G45" s="286"/>
      <c r="H45" s="286"/>
      <c r="I45" s="286"/>
      <c r="J45" s="286"/>
      <c r="K45" s="286"/>
      <c r="L45" s="286"/>
      <c r="M45" s="286"/>
      <c r="N45" s="291"/>
      <c r="O45" s="294"/>
      <c r="P45" s="288"/>
      <c r="Q45" s="286"/>
      <c r="R45" s="286"/>
      <c r="S45" s="286"/>
      <c r="T45" s="286"/>
      <c r="U45" s="286"/>
      <c r="V45" s="286"/>
      <c r="W45" s="286"/>
      <c r="X45" s="286"/>
      <c r="Y45" s="286"/>
      <c r="Z45" s="286"/>
      <c r="AA45" s="286"/>
    </row>
    <row r="46" spans="1:27" ht="15" customHeight="1" x14ac:dyDescent="0.35">
      <c r="A46" s="286"/>
      <c r="B46" s="286"/>
      <c r="C46" s="288"/>
      <c r="D46" s="286"/>
      <c r="E46" s="286"/>
      <c r="F46" s="286"/>
      <c r="G46" s="286"/>
      <c r="H46" s="286"/>
      <c r="I46" s="286"/>
      <c r="J46" s="286"/>
      <c r="K46" s="286"/>
      <c r="L46" s="286"/>
      <c r="M46" s="286"/>
      <c r="N46" s="291"/>
      <c r="O46" s="294"/>
      <c r="P46" s="288"/>
      <c r="Q46" s="286"/>
      <c r="R46" s="286"/>
      <c r="S46" s="286"/>
      <c r="T46" s="286"/>
      <c r="U46" s="286"/>
      <c r="V46" s="286"/>
      <c r="W46" s="286"/>
      <c r="X46" s="286"/>
      <c r="Y46" s="286"/>
      <c r="Z46" s="286"/>
      <c r="AA46" s="286"/>
    </row>
    <row r="47" spans="1:27" ht="15.65" customHeight="1" x14ac:dyDescent="0.35">
      <c r="A47" s="286"/>
      <c r="B47" s="286"/>
      <c r="C47" s="288"/>
      <c r="D47" s="286"/>
      <c r="E47" s="286"/>
      <c r="F47" s="286"/>
      <c r="G47" s="286"/>
      <c r="H47" s="286"/>
      <c r="I47" s="286"/>
      <c r="J47" s="286"/>
      <c r="K47" s="286"/>
      <c r="L47" s="286"/>
      <c r="M47" s="286"/>
      <c r="N47" s="290"/>
      <c r="O47" s="286"/>
      <c r="P47" s="288"/>
      <c r="Q47" s="286"/>
      <c r="R47" s="286"/>
      <c r="S47" s="286"/>
      <c r="T47" s="286"/>
      <c r="U47" s="286"/>
      <c r="V47" s="286"/>
      <c r="W47" s="286"/>
      <c r="X47" s="286"/>
      <c r="Y47" s="286"/>
      <c r="Z47" s="286"/>
      <c r="AA47" s="286"/>
    </row>
    <row r="48" spans="1:27" ht="16.149999999999999" customHeight="1" x14ac:dyDescent="0.35">
      <c r="A48" s="286"/>
      <c r="B48" s="286"/>
      <c r="C48" s="288"/>
      <c r="D48" s="286"/>
      <c r="E48" s="286"/>
      <c r="F48" s="286"/>
      <c r="G48" s="286"/>
      <c r="H48" s="286"/>
      <c r="I48" s="286"/>
      <c r="J48" s="286"/>
      <c r="K48" s="286"/>
      <c r="L48" s="286"/>
      <c r="M48" s="286"/>
      <c r="N48" s="291"/>
      <c r="O48" s="294"/>
      <c r="P48" s="288"/>
      <c r="Q48" s="286"/>
      <c r="R48" s="286"/>
      <c r="S48" s="286"/>
      <c r="T48" s="286"/>
      <c r="U48" s="286"/>
      <c r="V48" s="286"/>
      <c r="W48" s="286"/>
      <c r="X48" s="286"/>
      <c r="Y48" s="286"/>
      <c r="Z48" s="286"/>
      <c r="AA48" s="286"/>
    </row>
    <row r="49" spans="1:27" ht="16.149999999999999" customHeight="1" x14ac:dyDescent="0.35">
      <c r="A49" s="286"/>
      <c r="B49" s="286"/>
      <c r="C49" s="286"/>
      <c r="D49" s="286"/>
      <c r="E49" s="286"/>
      <c r="F49" s="286"/>
      <c r="G49" s="286"/>
      <c r="H49" s="286"/>
      <c r="I49" s="286"/>
      <c r="J49" s="286"/>
      <c r="K49" s="286"/>
      <c r="L49" s="286"/>
      <c r="M49" s="286"/>
      <c r="N49" s="290"/>
      <c r="O49" s="286"/>
      <c r="P49" s="288"/>
      <c r="Q49" s="286"/>
      <c r="R49" s="286"/>
      <c r="S49" s="286"/>
      <c r="T49" s="286"/>
      <c r="U49" s="286"/>
      <c r="V49" s="286"/>
      <c r="W49" s="286"/>
      <c r="X49" s="286"/>
      <c r="Y49" s="286"/>
      <c r="Z49" s="286"/>
      <c r="AA49" s="286"/>
    </row>
    <row r="50" spans="1:27" ht="16.149999999999999" customHeight="1" x14ac:dyDescent="0.35">
      <c r="A50" s="286"/>
      <c r="B50" s="286"/>
      <c r="C50" s="286"/>
      <c r="D50" s="286"/>
      <c r="E50" s="286"/>
      <c r="F50" s="286"/>
      <c r="G50" s="286"/>
      <c r="H50" s="286"/>
      <c r="I50" s="286"/>
      <c r="J50" s="286"/>
      <c r="K50" s="286"/>
      <c r="L50" s="286"/>
      <c r="M50" s="286"/>
      <c r="N50" s="290"/>
      <c r="O50" s="286"/>
      <c r="P50" s="288"/>
      <c r="Q50" s="286"/>
      <c r="R50" s="286"/>
      <c r="S50" s="286"/>
      <c r="T50" s="286"/>
      <c r="U50" s="286"/>
      <c r="V50" s="286"/>
      <c r="W50" s="286"/>
      <c r="X50" s="286"/>
      <c r="Y50" s="286"/>
      <c r="Z50" s="286"/>
      <c r="AA50" s="286"/>
    </row>
    <row r="51" spans="1:27" x14ac:dyDescent="0.35">
      <c r="A51" s="286"/>
      <c r="B51" s="286"/>
      <c r="C51" s="286"/>
      <c r="D51" s="286"/>
      <c r="E51" s="286"/>
      <c r="F51" s="286"/>
      <c r="G51" s="286"/>
      <c r="H51" s="286"/>
      <c r="I51" s="286"/>
      <c r="J51" s="286"/>
      <c r="K51" s="286"/>
      <c r="L51" s="286"/>
      <c r="M51" s="286"/>
      <c r="N51" s="290"/>
      <c r="O51" s="286"/>
      <c r="P51" s="288"/>
      <c r="Q51" s="286"/>
      <c r="R51" s="286"/>
      <c r="S51" s="286"/>
      <c r="T51" s="286"/>
      <c r="U51" s="286"/>
      <c r="V51" s="286"/>
      <c r="W51" s="286"/>
      <c r="X51" s="286"/>
      <c r="Y51" s="286"/>
      <c r="Z51" s="286"/>
      <c r="AA51" s="286"/>
    </row>
    <row r="52" spans="1:27" x14ac:dyDescent="0.35">
      <c r="A52" s="286"/>
      <c r="B52" s="286"/>
      <c r="C52" s="286"/>
      <c r="D52" s="286"/>
      <c r="E52" s="286"/>
      <c r="F52" s="286"/>
      <c r="G52" s="286"/>
      <c r="H52" s="286"/>
      <c r="I52" s="286"/>
      <c r="J52" s="286"/>
      <c r="K52" s="286"/>
      <c r="L52" s="286"/>
      <c r="M52" s="286"/>
      <c r="N52" s="290"/>
      <c r="O52" s="286"/>
      <c r="P52" s="288"/>
      <c r="Q52" s="286"/>
      <c r="R52" s="286"/>
      <c r="S52" s="286"/>
      <c r="T52" s="286"/>
      <c r="U52" s="286"/>
      <c r="V52" s="286"/>
      <c r="W52" s="286"/>
      <c r="X52" s="286"/>
      <c r="Y52" s="286"/>
      <c r="Z52" s="286"/>
      <c r="AA52" s="286"/>
    </row>
    <row r="53" spans="1:27" x14ac:dyDescent="0.35">
      <c r="A53" s="286"/>
      <c r="B53" s="286"/>
      <c r="C53" s="286"/>
      <c r="D53" s="286"/>
      <c r="E53" s="286"/>
      <c r="F53" s="286"/>
      <c r="G53" s="286"/>
      <c r="H53" s="286"/>
      <c r="I53" s="286"/>
      <c r="J53" s="286"/>
      <c r="K53" s="288"/>
      <c r="L53" s="286"/>
      <c r="M53" s="286"/>
      <c r="N53" s="290"/>
      <c r="O53" s="286"/>
      <c r="P53" s="288"/>
      <c r="Q53" s="286"/>
      <c r="R53" s="286"/>
      <c r="S53" s="286"/>
      <c r="T53" s="286"/>
      <c r="U53" s="286"/>
      <c r="V53" s="290"/>
      <c r="W53" s="286"/>
      <c r="X53" s="288"/>
      <c r="Y53" s="286"/>
      <c r="Z53" s="286"/>
      <c r="AA53" s="286"/>
    </row>
    <row r="54" spans="1:27" x14ac:dyDescent="0.35">
      <c r="A54" s="286"/>
      <c r="B54" s="286"/>
      <c r="C54" s="286"/>
      <c r="D54" s="286"/>
      <c r="E54" s="286"/>
      <c r="F54" s="286"/>
      <c r="G54" s="286"/>
      <c r="H54" s="286"/>
      <c r="I54" s="286"/>
      <c r="J54" s="286"/>
      <c r="K54" s="288"/>
      <c r="L54" s="286"/>
      <c r="M54" s="286"/>
      <c r="N54" s="286"/>
      <c r="O54" s="286"/>
      <c r="P54" s="286"/>
      <c r="Q54" s="286"/>
      <c r="R54" s="286"/>
      <c r="S54" s="286"/>
      <c r="T54" s="286"/>
      <c r="U54" s="286"/>
      <c r="V54" s="290"/>
      <c r="W54" s="286"/>
      <c r="X54" s="288"/>
      <c r="Y54" s="286"/>
      <c r="Z54" s="286"/>
      <c r="AA54" s="286"/>
    </row>
    <row r="55" spans="1:27" x14ac:dyDescent="0.35">
      <c r="A55" s="286"/>
      <c r="B55" s="286"/>
      <c r="C55" s="286"/>
      <c r="D55" s="286"/>
      <c r="E55" s="286"/>
      <c r="F55" s="286"/>
      <c r="G55" s="286"/>
      <c r="H55" s="286"/>
      <c r="I55" s="286"/>
      <c r="J55" s="286"/>
      <c r="K55" s="288"/>
      <c r="L55" s="286"/>
      <c r="M55" s="286"/>
      <c r="N55" s="286"/>
      <c r="O55" s="286"/>
      <c r="P55" s="286"/>
      <c r="Q55" s="286"/>
      <c r="R55" s="286"/>
      <c r="S55" s="286"/>
      <c r="T55" s="286"/>
      <c r="U55" s="286"/>
      <c r="V55" s="290"/>
      <c r="W55" s="286"/>
      <c r="X55" s="288"/>
      <c r="Y55" s="286"/>
      <c r="Z55" s="286"/>
      <c r="AA55" s="286"/>
    </row>
    <row r="56" spans="1:27" x14ac:dyDescent="0.35">
      <c r="A56" s="286"/>
      <c r="B56" s="286"/>
      <c r="C56" s="286"/>
      <c r="D56" s="286"/>
      <c r="E56" s="286"/>
      <c r="F56" s="286"/>
      <c r="G56" s="286"/>
      <c r="H56" s="286"/>
      <c r="I56" s="286"/>
      <c r="J56" s="286"/>
      <c r="K56" s="288"/>
      <c r="L56" s="286"/>
      <c r="M56" s="286"/>
      <c r="N56" s="286"/>
      <c r="O56" s="286"/>
      <c r="P56" s="286"/>
      <c r="Q56" s="286"/>
      <c r="R56" s="286"/>
      <c r="S56" s="286"/>
      <c r="T56" s="286"/>
      <c r="U56" s="286"/>
      <c r="V56" s="290"/>
      <c r="W56" s="286"/>
      <c r="X56" s="288"/>
      <c r="Y56" s="286"/>
      <c r="Z56" s="286"/>
      <c r="AA56" s="286"/>
    </row>
    <row r="57" spans="1:27" x14ac:dyDescent="0.35">
      <c r="A57" s="286"/>
      <c r="B57" s="286"/>
      <c r="C57" s="286"/>
      <c r="D57" s="286"/>
      <c r="E57" s="286"/>
      <c r="F57" s="286"/>
      <c r="G57" s="286"/>
      <c r="H57" s="286"/>
      <c r="I57" s="286"/>
      <c r="J57" s="286"/>
      <c r="K57" s="288"/>
      <c r="L57" s="286"/>
      <c r="M57" s="286"/>
      <c r="N57" s="286"/>
      <c r="O57" s="286"/>
      <c r="P57" s="286"/>
      <c r="Q57" s="286"/>
      <c r="R57" s="286"/>
      <c r="S57" s="286"/>
      <c r="T57" s="286"/>
      <c r="U57" s="286"/>
      <c r="V57" s="290"/>
      <c r="W57" s="286"/>
      <c r="X57" s="288"/>
      <c r="Y57" s="286"/>
      <c r="Z57" s="286"/>
      <c r="AA57" s="286"/>
    </row>
    <row r="58" spans="1:27" x14ac:dyDescent="0.35">
      <c r="A58" s="286"/>
      <c r="B58" s="286"/>
      <c r="C58" s="286"/>
      <c r="D58" s="286"/>
      <c r="E58" s="286"/>
      <c r="F58" s="286"/>
      <c r="G58" s="286"/>
      <c r="H58" s="286"/>
      <c r="I58" s="286"/>
      <c r="J58" s="286"/>
      <c r="K58" s="288"/>
      <c r="L58" s="286"/>
      <c r="M58" s="286"/>
      <c r="N58" s="286"/>
      <c r="O58" s="286"/>
      <c r="P58" s="286"/>
      <c r="Q58" s="286"/>
      <c r="R58" s="286"/>
      <c r="S58" s="286"/>
      <c r="T58" s="286"/>
      <c r="U58" s="286"/>
      <c r="V58" s="290"/>
      <c r="W58" s="286"/>
      <c r="X58" s="288"/>
      <c r="Y58" s="286"/>
      <c r="Z58" s="286"/>
      <c r="AA58" s="286"/>
    </row>
    <row r="59" spans="1:27" x14ac:dyDescent="0.35">
      <c r="A59" s="286"/>
      <c r="B59" s="286"/>
      <c r="C59" s="286"/>
      <c r="D59" s="286"/>
      <c r="E59" s="286"/>
      <c r="F59" s="286"/>
      <c r="G59" s="286"/>
      <c r="H59" s="286"/>
      <c r="I59" s="286"/>
      <c r="J59" s="286"/>
      <c r="K59" s="288"/>
      <c r="L59" s="286"/>
      <c r="M59" s="286"/>
      <c r="N59" s="286"/>
      <c r="O59" s="286"/>
      <c r="P59" s="286"/>
      <c r="Q59" s="286"/>
      <c r="R59" s="286"/>
      <c r="S59" s="286"/>
      <c r="T59" s="286"/>
      <c r="U59" s="286"/>
      <c r="V59" s="290"/>
      <c r="W59" s="286"/>
      <c r="X59" s="288"/>
      <c r="Y59" s="286"/>
      <c r="Z59" s="286"/>
      <c r="AA59" s="286"/>
    </row>
    <row r="60" spans="1:27" x14ac:dyDescent="0.35">
      <c r="A60" s="286"/>
      <c r="B60" s="286"/>
      <c r="C60" s="286"/>
      <c r="D60" s="286"/>
      <c r="E60" s="286"/>
      <c r="F60" s="286"/>
      <c r="G60" s="286"/>
      <c r="H60" s="286"/>
      <c r="I60" s="286"/>
      <c r="J60" s="286"/>
      <c r="K60" s="288"/>
      <c r="L60" s="286"/>
      <c r="M60" s="286"/>
      <c r="N60" s="286"/>
      <c r="O60" s="286"/>
      <c r="P60" s="286"/>
      <c r="Q60" s="286"/>
      <c r="R60" s="286"/>
      <c r="S60" s="286"/>
      <c r="T60" s="286"/>
      <c r="U60" s="286"/>
      <c r="V60" s="290"/>
      <c r="W60" s="286"/>
      <c r="X60" s="288"/>
      <c r="Y60" s="286"/>
      <c r="Z60" s="286"/>
      <c r="AA60" s="286"/>
    </row>
    <row r="61" spans="1:27" x14ac:dyDescent="0.35">
      <c r="A61" s="286"/>
      <c r="B61" s="286"/>
      <c r="C61" s="286"/>
      <c r="D61" s="286"/>
      <c r="E61" s="286"/>
      <c r="F61" s="286"/>
      <c r="G61" s="286"/>
      <c r="H61" s="286"/>
      <c r="I61" s="286"/>
      <c r="J61" s="286"/>
      <c r="K61" s="288"/>
      <c r="L61" s="286"/>
      <c r="M61" s="286"/>
      <c r="N61" s="286"/>
      <c r="O61" s="286"/>
      <c r="P61" s="286"/>
      <c r="Q61" s="286"/>
      <c r="R61" s="286"/>
      <c r="S61" s="286"/>
      <c r="T61" s="286"/>
      <c r="U61" s="286"/>
      <c r="V61" s="290"/>
      <c r="W61" s="286"/>
      <c r="X61" s="288"/>
      <c r="Y61" s="286"/>
      <c r="Z61" s="286"/>
      <c r="AA61" s="286"/>
    </row>
    <row r="62" spans="1:27" x14ac:dyDescent="0.35">
      <c r="A62" s="286"/>
      <c r="B62" s="286"/>
      <c r="C62" s="286"/>
      <c r="D62" s="286"/>
      <c r="E62" s="286"/>
      <c r="F62" s="286"/>
      <c r="G62" s="286"/>
      <c r="H62" s="286"/>
      <c r="I62" s="286"/>
      <c r="J62" s="286"/>
      <c r="K62" s="288"/>
      <c r="L62" s="286"/>
      <c r="M62" s="286"/>
      <c r="N62" s="286"/>
      <c r="O62" s="286"/>
      <c r="P62" s="286"/>
      <c r="Q62" s="286"/>
      <c r="R62" s="286"/>
      <c r="S62" s="286"/>
      <c r="T62" s="286"/>
      <c r="U62" s="286"/>
      <c r="V62" s="290"/>
      <c r="W62" s="286"/>
      <c r="X62" s="288"/>
      <c r="Y62" s="286"/>
      <c r="Z62" s="286"/>
      <c r="AA62" s="286"/>
    </row>
    <row r="63" spans="1:27" x14ac:dyDescent="0.35">
      <c r="A63" s="286"/>
      <c r="B63" s="286"/>
      <c r="C63" s="286"/>
      <c r="D63" s="286"/>
      <c r="E63" s="286"/>
      <c r="F63" s="286"/>
      <c r="G63" s="286"/>
      <c r="H63" s="286"/>
      <c r="I63" s="286"/>
      <c r="J63" s="286"/>
      <c r="K63" s="288"/>
      <c r="L63" s="286"/>
      <c r="M63" s="286"/>
      <c r="N63" s="286"/>
      <c r="O63" s="286"/>
      <c r="P63" s="286"/>
      <c r="Q63" s="286"/>
      <c r="R63" s="286"/>
      <c r="S63" s="286"/>
      <c r="T63" s="286"/>
      <c r="U63" s="286"/>
      <c r="V63" s="290"/>
      <c r="W63" s="286"/>
      <c r="X63" s="288"/>
      <c r="Y63" s="286"/>
      <c r="Z63" s="286"/>
      <c r="AA63" s="286"/>
    </row>
    <row r="64" spans="1:27" x14ac:dyDescent="0.35">
      <c r="A64" s="286"/>
      <c r="B64" s="286"/>
      <c r="C64" s="286"/>
      <c r="D64" s="286"/>
      <c r="E64" s="286"/>
      <c r="F64" s="286"/>
      <c r="G64" s="286"/>
      <c r="H64" s="286"/>
      <c r="I64" s="286"/>
      <c r="J64" s="286"/>
      <c r="K64" s="288"/>
      <c r="L64" s="286"/>
      <c r="M64" s="286"/>
      <c r="N64" s="286"/>
      <c r="O64" s="286"/>
      <c r="P64" s="286"/>
      <c r="Q64" s="286"/>
      <c r="R64" s="286"/>
      <c r="S64" s="286"/>
      <c r="T64" s="286"/>
      <c r="U64" s="286"/>
      <c r="V64" s="290"/>
      <c r="W64" s="286"/>
      <c r="X64" s="288"/>
      <c r="Y64" s="286"/>
      <c r="Z64" s="286"/>
      <c r="AA64" s="286"/>
    </row>
    <row r="65" spans="1:27" x14ac:dyDescent="0.35">
      <c r="A65" s="286"/>
      <c r="B65" s="286"/>
      <c r="C65" s="286"/>
      <c r="D65" s="286"/>
      <c r="E65" s="286"/>
      <c r="F65" s="286"/>
      <c r="G65" s="286"/>
      <c r="H65" s="286"/>
      <c r="I65" s="286"/>
      <c r="J65" s="286"/>
      <c r="K65" s="288"/>
      <c r="L65" s="286"/>
      <c r="M65" s="286"/>
      <c r="N65" s="286"/>
      <c r="O65" s="286"/>
      <c r="P65" s="286"/>
      <c r="Q65" s="286"/>
      <c r="R65" s="286"/>
      <c r="S65" s="286"/>
      <c r="T65" s="286"/>
      <c r="U65" s="286"/>
      <c r="V65" s="290"/>
      <c r="W65" s="286"/>
      <c r="X65" s="288"/>
      <c r="Y65" s="286"/>
      <c r="Z65" s="286"/>
      <c r="AA65" s="286"/>
    </row>
    <row r="66" spans="1:27" x14ac:dyDescent="0.35">
      <c r="A66" s="286"/>
      <c r="B66" s="286"/>
      <c r="C66" s="286"/>
      <c r="D66" s="286"/>
      <c r="E66" s="286"/>
      <c r="F66" s="286"/>
      <c r="G66" s="286"/>
      <c r="H66" s="286"/>
      <c r="I66" s="286"/>
      <c r="J66" s="286"/>
      <c r="K66" s="288"/>
      <c r="L66" s="286"/>
      <c r="M66" s="286"/>
      <c r="N66" s="286"/>
      <c r="O66" s="286"/>
      <c r="P66" s="286"/>
      <c r="Q66" s="286"/>
      <c r="R66" s="286"/>
      <c r="S66" s="286"/>
      <c r="T66" s="286"/>
      <c r="U66" s="286"/>
      <c r="V66" s="290"/>
      <c r="W66" s="286"/>
      <c r="X66" s="288"/>
      <c r="Y66" s="286"/>
      <c r="Z66" s="286"/>
      <c r="AA66" s="286"/>
    </row>
    <row r="67" spans="1:27" x14ac:dyDescent="0.35">
      <c r="A67" s="286"/>
      <c r="B67" s="286"/>
      <c r="C67" s="286"/>
      <c r="D67" s="286"/>
      <c r="E67" s="286"/>
      <c r="F67" s="286"/>
      <c r="G67" s="286"/>
      <c r="H67" s="286"/>
      <c r="I67" s="286"/>
      <c r="J67" s="286"/>
      <c r="K67" s="288"/>
      <c r="L67" s="286"/>
      <c r="M67" s="286"/>
      <c r="N67" s="286"/>
      <c r="O67" s="286"/>
      <c r="P67" s="286"/>
      <c r="Q67" s="286"/>
      <c r="R67" s="286"/>
      <c r="S67" s="286"/>
      <c r="T67" s="286"/>
      <c r="U67" s="286"/>
      <c r="V67" s="290"/>
      <c r="W67" s="286"/>
      <c r="X67" s="288"/>
      <c r="Y67" s="286"/>
      <c r="Z67" s="286"/>
      <c r="AA67" s="286"/>
    </row>
    <row r="68" spans="1:27" x14ac:dyDescent="0.35">
      <c r="A68" s="286"/>
      <c r="B68" s="286"/>
      <c r="C68" s="286"/>
      <c r="D68" s="286"/>
      <c r="E68" s="286"/>
      <c r="F68" s="286"/>
      <c r="G68" s="286"/>
      <c r="H68" s="286"/>
      <c r="I68" s="286"/>
      <c r="J68" s="286"/>
      <c r="K68" s="288"/>
      <c r="L68" s="286"/>
      <c r="M68" s="286"/>
      <c r="N68" s="286"/>
      <c r="O68" s="286"/>
      <c r="P68" s="286"/>
      <c r="Q68" s="286"/>
      <c r="R68" s="286"/>
      <c r="S68" s="286"/>
      <c r="T68" s="286"/>
      <c r="U68" s="286"/>
      <c r="V68" s="290"/>
      <c r="W68" s="286"/>
      <c r="X68" s="288"/>
      <c r="Y68" s="286"/>
      <c r="Z68" s="286"/>
      <c r="AA68" s="286"/>
    </row>
    <row r="69" spans="1:27" x14ac:dyDescent="0.35">
      <c r="A69" s="286"/>
      <c r="B69" s="286"/>
      <c r="C69" s="286"/>
      <c r="D69" s="286"/>
      <c r="E69" s="286"/>
      <c r="F69" s="286"/>
      <c r="G69" s="286"/>
      <c r="H69" s="286"/>
      <c r="I69" s="286"/>
      <c r="J69" s="286"/>
      <c r="K69" s="288"/>
      <c r="L69" s="286"/>
      <c r="M69" s="286"/>
      <c r="N69" s="286"/>
      <c r="O69" s="286"/>
      <c r="P69" s="286"/>
      <c r="Q69" s="286"/>
      <c r="R69" s="286"/>
      <c r="S69" s="286"/>
      <c r="T69" s="286"/>
      <c r="U69" s="286"/>
      <c r="V69" s="290"/>
      <c r="W69" s="286"/>
      <c r="X69" s="288"/>
      <c r="Y69" s="286"/>
      <c r="Z69" s="286"/>
      <c r="AA69" s="286"/>
    </row>
    <row r="70" spans="1:27" x14ac:dyDescent="0.35">
      <c r="A70" s="286"/>
      <c r="B70" s="286"/>
      <c r="C70" s="286"/>
      <c r="D70" s="286"/>
      <c r="E70" s="286"/>
      <c r="F70" s="286"/>
      <c r="G70" s="286"/>
      <c r="H70" s="286"/>
      <c r="I70" s="286"/>
      <c r="J70" s="286"/>
      <c r="K70" s="288"/>
      <c r="L70" s="286"/>
      <c r="M70" s="286"/>
      <c r="N70" s="286"/>
      <c r="O70" s="286"/>
      <c r="P70" s="286"/>
      <c r="Q70" s="286"/>
      <c r="R70" s="286"/>
      <c r="S70" s="286"/>
      <c r="T70" s="286"/>
      <c r="U70" s="286"/>
      <c r="V70" s="290"/>
      <c r="W70" s="286"/>
      <c r="X70" s="288"/>
      <c r="Y70" s="286"/>
      <c r="Z70" s="286"/>
      <c r="AA70" s="286"/>
    </row>
    <row r="71" spans="1:27" x14ac:dyDescent="0.35">
      <c r="A71" s="286"/>
      <c r="B71" s="286"/>
      <c r="C71" s="286"/>
      <c r="D71" s="286"/>
      <c r="E71" s="286"/>
      <c r="F71" s="286"/>
      <c r="G71" s="286"/>
      <c r="H71" s="286"/>
      <c r="I71" s="286"/>
      <c r="J71" s="286"/>
      <c r="K71" s="288"/>
      <c r="L71" s="286"/>
      <c r="M71" s="286"/>
      <c r="N71" s="286"/>
      <c r="O71" s="286"/>
      <c r="P71" s="286"/>
      <c r="Q71" s="286"/>
      <c r="R71" s="286"/>
      <c r="S71" s="286"/>
      <c r="T71" s="286"/>
      <c r="U71" s="286"/>
      <c r="V71" s="290"/>
      <c r="W71" s="286"/>
      <c r="X71" s="288"/>
      <c r="Y71" s="286"/>
      <c r="Z71" s="286"/>
      <c r="AA71" s="286"/>
    </row>
    <row r="72" spans="1:27" x14ac:dyDescent="0.35">
      <c r="A72" s="286"/>
      <c r="B72" s="286"/>
      <c r="C72" s="286"/>
      <c r="D72" s="286"/>
      <c r="E72" s="286"/>
      <c r="F72" s="286"/>
      <c r="G72" s="286"/>
      <c r="H72" s="286"/>
      <c r="I72" s="286"/>
      <c r="J72" s="286"/>
      <c r="K72" s="288"/>
      <c r="L72" s="286"/>
      <c r="M72" s="286"/>
      <c r="N72" s="286"/>
      <c r="O72" s="286"/>
      <c r="P72" s="286"/>
      <c r="Q72" s="286"/>
      <c r="R72" s="286"/>
      <c r="S72" s="286"/>
      <c r="T72" s="286"/>
      <c r="U72" s="286"/>
      <c r="V72" s="290"/>
      <c r="W72" s="286"/>
      <c r="X72" s="288"/>
      <c r="Y72" s="286"/>
      <c r="Z72" s="286"/>
      <c r="AA72" s="286"/>
    </row>
    <row r="73" spans="1:27" x14ac:dyDescent="0.35">
      <c r="A73" s="286"/>
      <c r="B73" s="286"/>
      <c r="C73" s="286"/>
      <c r="D73" s="286"/>
      <c r="E73" s="286"/>
      <c r="F73" s="286"/>
      <c r="G73" s="286"/>
      <c r="H73" s="286"/>
      <c r="I73" s="286"/>
      <c r="J73" s="286"/>
      <c r="K73" s="288"/>
      <c r="L73" s="286"/>
      <c r="M73" s="286"/>
      <c r="N73" s="286"/>
      <c r="O73" s="286"/>
      <c r="P73" s="286"/>
      <c r="Q73" s="286"/>
      <c r="R73" s="286"/>
      <c r="S73" s="286"/>
      <c r="T73" s="286"/>
      <c r="U73" s="286"/>
      <c r="V73" s="290"/>
      <c r="W73" s="286"/>
      <c r="X73" s="288"/>
      <c r="Y73" s="286"/>
      <c r="Z73" s="286"/>
      <c r="AA73" s="286"/>
    </row>
    <row r="74" spans="1:27" x14ac:dyDescent="0.35">
      <c r="A74" s="286"/>
      <c r="B74" s="286"/>
      <c r="C74" s="286"/>
      <c r="D74" s="286"/>
      <c r="E74" s="286"/>
      <c r="F74" s="286"/>
      <c r="G74" s="286"/>
      <c r="H74" s="286"/>
      <c r="I74" s="286"/>
      <c r="J74" s="286"/>
      <c r="K74" s="288"/>
      <c r="L74" s="286"/>
      <c r="M74" s="286"/>
      <c r="N74" s="286"/>
      <c r="O74" s="286"/>
      <c r="P74" s="286"/>
      <c r="Q74" s="286"/>
      <c r="R74" s="286"/>
      <c r="S74" s="286"/>
      <c r="T74" s="286"/>
      <c r="U74" s="286"/>
      <c r="V74" s="290"/>
      <c r="W74" s="286"/>
      <c r="X74" s="288"/>
      <c r="Y74" s="286"/>
      <c r="Z74" s="286"/>
      <c r="AA74" s="286"/>
    </row>
    <row r="75" spans="1:27" x14ac:dyDescent="0.35">
      <c r="A75" s="286"/>
      <c r="B75" s="286"/>
      <c r="C75" s="286"/>
      <c r="D75" s="286"/>
      <c r="E75" s="286"/>
      <c r="F75" s="286"/>
      <c r="G75" s="286"/>
      <c r="H75" s="286"/>
      <c r="I75" s="286"/>
      <c r="J75" s="286"/>
      <c r="K75" s="288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90"/>
      <c r="W75" s="286"/>
      <c r="X75" s="288"/>
      <c r="Y75" s="286"/>
      <c r="Z75" s="286"/>
      <c r="AA75" s="286"/>
    </row>
    <row r="76" spans="1:27" x14ac:dyDescent="0.35">
      <c r="A76" s="286"/>
      <c r="B76" s="286"/>
      <c r="C76" s="286"/>
      <c r="D76" s="286"/>
      <c r="E76" s="286"/>
      <c r="F76" s="286"/>
      <c r="G76" s="286"/>
      <c r="H76" s="286"/>
      <c r="I76" s="286"/>
      <c r="J76" s="286"/>
      <c r="K76" s="288"/>
      <c r="L76" s="286"/>
      <c r="M76" s="286"/>
      <c r="N76" s="286"/>
      <c r="O76" s="286"/>
      <c r="P76" s="286"/>
      <c r="Q76" s="286"/>
      <c r="R76" s="286"/>
      <c r="S76" s="286"/>
      <c r="T76" s="286"/>
      <c r="U76" s="286"/>
      <c r="V76" s="290"/>
      <c r="W76" s="286"/>
      <c r="X76" s="288"/>
      <c r="Y76" s="286"/>
      <c r="Z76" s="286"/>
      <c r="AA76" s="286"/>
    </row>
    <row r="77" spans="1:27" x14ac:dyDescent="0.35">
      <c r="A77" s="286"/>
      <c r="B77" s="286"/>
      <c r="C77" s="286"/>
      <c r="D77" s="286"/>
      <c r="E77" s="286"/>
      <c r="F77" s="286"/>
      <c r="G77" s="286"/>
      <c r="H77" s="286"/>
      <c r="I77" s="286"/>
      <c r="J77" s="286"/>
      <c r="K77" s="288"/>
      <c r="L77" s="286"/>
      <c r="M77" s="286"/>
      <c r="N77" s="286"/>
      <c r="O77" s="286"/>
      <c r="P77" s="286"/>
      <c r="Q77" s="286"/>
      <c r="R77" s="286"/>
      <c r="S77" s="286"/>
      <c r="T77" s="286"/>
      <c r="U77" s="286"/>
      <c r="V77" s="290"/>
      <c r="W77" s="286"/>
      <c r="X77" s="288"/>
      <c r="Y77" s="286"/>
      <c r="Z77" s="286"/>
      <c r="AA77" s="286"/>
    </row>
    <row r="78" spans="1:27" x14ac:dyDescent="0.35">
      <c r="A78" s="286"/>
      <c r="B78" s="286"/>
      <c r="C78" s="286"/>
      <c r="D78" s="286"/>
      <c r="E78" s="286"/>
      <c r="F78" s="286"/>
      <c r="G78" s="286"/>
      <c r="H78" s="286"/>
      <c r="I78" s="286"/>
      <c r="J78" s="286"/>
      <c r="K78" s="288"/>
      <c r="L78" s="286"/>
      <c r="M78" s="286"/>
      <c r="N78" s="286"/>
      <c r="O78" s="286"/>
      <c r="P78" s="286"/>
      <c r="Q78" s="286"/>
      <c r="R78" s="286"/>
      <c r="S78" s="286"/>
      <c r="T78" s="286"/>
      <c r="U78" s="286"/>
      <c r="V78" s="290"/>
      <c r="W78" s="286"/>
      <c r="X78" s="288"/>
      <c r="Y78" s="286"/>
      <c r="Z78" s="286"/>
      <c r="AA78" s="286"/>
    </row>
    <row r="79" spans="1:27" x14ac:dyDescent="0.35">
      <c r="A79" s="286"/>
      <c r="B79" s="286"/>
      <c r="C79" s="286"/>
      <c r="D79" s="286"/>
      <c r="E79" s="286"/>
      <c r="F79" s="286"/>
      <c r="G79" s="286"/>
      <c r="H79" s="286"/>
      <c r="I79" s="286"/>
      <c r="J79" s="286"/>
      <c r="K79" s="288"/>
      <c r="L79" s="286"/>
      <c r="M79" s="286"/>
      <c r="N79" s="286"/>
      <c r="O79" s="286"/>
      <c r="P79" s="286"/>
      <c r="Q79" s="286"/>
      <c r="R79" s="286"/>
      <c r="S79" s="286"/>
      <c r="T79" s="286"/>
      <c r="U79" s="286"/>
      <c r="V79" s="290"/>
      <c r="W79" s="286"/>
      <c r="X79" s="288"/>
      <c r="Y79" s="286"/>
      <c r="Z79" s="286"/>
      <c r="AA79" s="286"/>
    </row>
    <row r="80" spans="1:27" x14ac:dyDescent="0.35">
      <c r="A80" s="286"/>
      <c r="B80" s="286"/>
      <c r="C80" s="286"/>
      <c r="D80" s="286"/>
      <c r="E80" s="286"/>
      <c r="F80" s="286"/>
      <c r="G80" s="286"/>
      <c r="H80" s="286"/>
      <c r="I80" s="286"/>
      <c r="J80" s="286"/>
      <c r="K80" s="288"/>
      <c r="L80" s="286"/>
      <c r="M80" s="286"/>
      <c r="N80" s="286"/>
      <c r="O80" s="286"/>
      <c r="P80" s="286"/>
      <c r="Q80" s="286"/>
      <c r="R80" s="286"/>
      <c r="S80" s="286"/>
      <c r="T80" s="286"/>
      <c r="U80" s="286"/>
      <c r="V80" s="290"/>
      <c r="W80" s="286"/>
      <c r="X80" s="288"/>
      <c r="Y80" s="286"/>
      <c r="Z80" s="286"/>
      <c r="AA80" s="286"/>
    </row>
    <row r="81" spans="1:27" x14ac:dyDescent="0.35">
      <c r="A81" s="286"/>
      <c r="B81" s="286"/>
      <c r="C81" s="286"/>
      <c r="D81" s="286"/>
      <c r="E81" s="286"/>
      <c r="F81" s="286"/>
      <c r="G81" s="286"/>
      <c r="H81" s="286"/>
      <c r="I81" s="286"/>
      <c r="J81" s="286"/>
      <c r="K81" s="288"/>
      <c r="L81" s="286"/>
      <c r="M81" s="286"/>
      <c r="N81" s="286"/>
      <c r="O81" s="286"/>
      <c r="P81" s="286"/>
      <c r="Q81" s="286"/>
      <c r="R81" s="286"/>
      <c r="S81" s="286"/>
      <c r="T81" s="286"/>
      <c r="U81" s="286"/>
      <c r="V81" s="290"/>
      <c r="W81" s="286"/>
      <c r="X81" s="288"/>
      <c r="Y81" s="286"/>
      <c r="Z81" s="286"/>
      <c r="AA81" s="286"/>
    </row>
    <row r="82" spans="1:27" x14ac:dyDescent="0.35">
      <c r="A82" s="286"/>
      <c r="B82" s="286"/>
      <c r="C82" s="286"/>
      <c r="D82" s="286"/>
      <c r="E82" s="286"/>
      <c r="F82" s="286"/>
      <c r="G82" s="286"/>
      <c r="H82" s="286"/>
      <c r="I82" s="286"/>
      <c r="J82" s="286"/>
      <c r="K82" s="288"/>
      <c r="L82" s="286"/>
      <c r="M82" s="286"/>
      <c r="N82" s="286"/>
      <c r="O82" s="286"/>
      <c r="P82" s="286"/>
      <c r="Q82" s="286"/>
      <c r="R82" s="286"/>
      <c r="S82" s="286"/>
      <c r="T82" s="286"/>
      <c r="U82" s="286"/>
      <c r="V82" s="290"/>
      <c r="W82" s="286"/>
      <c r="X82" s="288"/>
      <c r="Y82" s="286"/>
      <c r="Z82" s="286"/>
      <c r="AA82" s="286"/>
    </row>
    <row r="83" spans="1:27" x14ac:dyDescent="0.35">
      <c r="A83" s="286"/>
      <c r="B83" s="286"/>
      <c r="C83" s="286"/>
      <c r="D83" s="286"/>
      <c r="E83" s="286"/>
      <c r="F83" s="286"/>
      <c r="G83" s="286"/>
      <c r="H83" s="286"/>
      <c r="I83" s="286"/>
      <c r="J83" s="286"/>
      <c r="K83" s="288"/>
      <c r="L83" s="286"/>
      <c r="M83" s="286"/>
      <c r="N83" s="286"/>
      <c r="O83" s="286"/>
      <c r="P83" s="286"/>
      <c r="Q83" s="286"/>
      <c r="R83" s="286"/>
      <c r="S83" s="286"/>
      <c r="T83" s="286"/>
      <c r="U83" s="286"/>
      <c r="V83" s="290"/>
      <c r="W83" s="286"/>
      <c r="X83" s="288"/>
      <c r="Y83" s="286"/>
      <c r="Z83" s="286"/>
      <c r="AA83" s="286"/>
    </row>
    <row r="84" spans="1:27" x14ac:dyDescent="0.35">
      <c r="A84" s="286"/>
      <c r="B84" s="286"/>
      <c r="C84" s="286"/>
      <c r="D84" s="286"/>
      <c r="E84" s="286"/>
      <c r="F84" s="286"/>
      <c r="G84" s="286"/>
      <c r="H84" s="286"/>
      <c r="I84" s="286"/>
      <c r="J84" s="286"/>
      <c r="K84" s="288"/>
      <c r="L84" s="286"/>
      <c r="M84" s="286"/>
      <c r="N84" s="286"/>
      <c r="O84" s="286"/>
      <c r="P84" s="286"/>
      <c r="Q84" s="286"/>
      <c r="R84" s="286"/>
      <c r="S84" s="286"/>
      <c r="T84" s="286"/>
      <c r="U84" s="286"/>
      <c r="V84" s="290"/>
      <c r="W84" s="286"/>
      <c r="X84" s="288"/>
      <c r="Y84" s="286"/>
      <c r="Z84" s="286"/>
      <c r="AA84" s="286"/>
    </row>
    <row r="85" spans="1:27" x14ac:dyDescent="0.35">
      <c r="A85" s="286"/>
      <c r="B85" s="286"/>
      <c r="C85" s="286"/>
      <c r="D85" s="286"/>
      <c r="E85" s="286"/>
      <c r="F85" s="286"/>
      <c r="G85" s="286"/>
      <c r="H85" s="286"/>
      <c r="I85" s="286"/>
      <c r="J85" s="286"/>
      <c r="K85" s="288"/>
      <c r="L85" s="286"/>
      <c r="M85" s="286"/>
      <c r="N85" s="286"/>
      <c r="O85" s="286"/>
      <c r="P85" s="286"/>
      <c r="Q85" s="286"/>
      <c r="R85" s="286"/>
      <c r="S85" s="286"/>
      <c r="T85" s="286"/>
      <c r="U85" s="286"/>
      <c r="V85" s="290"/>
      <c r="W85" s="286"/>
      <c r="X85" s="288"/>
      <c r="Y85" s="286"/>
      <c r="Z85" s="286"/>
      <c r="AA85" s="286"/>
    </row>
    <row r="86" spans="1:27" x14ac:dyDescent="0.35">
      <c r="A86" s="286"/>
      <c r="B86" s="286"/>
      <c r="C86" s="286"/>
      <c r="D86" s="286"/>
      <c r="E86" s="286"/>
      <c r="F86" s="286"/>
      <c r="G86" s="286"/>
      <c r="H86" s="286"/>
      <c r="I86" s="286"/>
      <c r="J86" s="286"/>
      <c r="K86" s="288"/>
      <c r="L86" s="286"/>
      <c r="M86" s="286"/>
      <c r="N86" s="286"/>
      <c r="O86" s="286"/>
      <c r="P86" s="286"/>
      <c r="Q86" s="286"/>
      <c r="R86" s="286"/>
      <c r="S86" s="286"/>
      <c r="T86" s="286"/>
      <c r="U86" s="286"/>
      <c r="V86" s="290"/>
      <c r="W86" s="286"/>
      <c r="X86" s="288"/>
      <c r="Y86" s="286"/>
      <c r="Z86" s="286"/>
      <c r="AA86" s="286"/>
    </row>
    <row r="87" spans="1:27" x14ac:dyDescent="0.35">
      <c r="A87" s="286"/>
      <c r="B87" s="286"/>
      <c r="C87" s="286"/>
      <c r="D87" s="286"/>
      <c r="E87" s="286"/>
      <c r="F87" s="286"/>
      <c r="G87" s="286"/>
      <c r="H87" s="286"/>
      <c r="I87" s="286"/>
      <c r="J87" s="286"/>
      <c r="K87" s="288"/>
      <c r="L87" s="286"/>
      <c r="M87" s="286"/>
      <c r="N87" s="286"/>
      <c r="O87" s="286"/>
      <c r="P87" s="286"/>
      <c r="Q87" s="286"/>
      <c r="R87" s="286"/>
      <c r="S87" s="286"/>
      <c r="T87" s="286"/>
      <c r="U87" s="286"/>
      <c r="V87" s="290"/>
      <c r="W87" s="286"/>
      <c r="X87" s="288"/>
      <c r="Y87" s="286"/>
      <c r="Z87" s="286"/>
      <c r="AA87" s="286"/>
    </row>
    <row r="88" spans="1:27" x14ac:dyDescent="0.35">
      <c r="A88" s="286"/>
      <c r="B88" s="286"/>
      <c r="C88" s="286"/>
      <c r="D88" s="286"/>
      <c r="E88" s="286"/>
      <c r="F88" s="286"/>
      <c r="G88" s="286"/>
      <c r="H88" s="286"/>
      <c r="I88" s="286"/>
      <c r="J88" s="286"/>
      <c r="K88" s="288"/>
      <c r="L88" s="286"/>
      <c r="M88" s="286"/>
      <c r="N88" s="286"/>
      <c r="O88" s="286"/>
      <c r="P88" s="286"/>
      <c r="Q88" s="286"/>
      <c r="R88" s="286"/>
      <c r="S88" s="286"/>
      <c r="T88" s="286"/>
      <c r="U88" s="286"/>
      <c r="V88" s="290"/>
      <c r="W88" s="286"/>
      <c r="X88" s="288"/>
      <c r="Y88" s="286"/>
      <c r="Z88" s="286"/>
      <c r="AA88" s="286"/>
    </row>
    <row r="89" spans="1:27" x14ac:dyDescent="0.35">
      <c r="A89" s="286"/>
      <c r="B89" s="286"/>
      <c r="C89" s="286"/>
      <c r="D89" s="286"/>
      <c r="E89" s="286"/>
      <c r="F89" s="286"/>
      <c r="G89" s="286"/>
      <c r="H89" s="286"/>
      <c r="I89" s="286"/>
      <c r="J89" s="286"/>
      <c r="K89" s="288"/>
      <c r="L89" s="286"/>
      <c r="M89" s="286"/>
      <c r="N89" s="286"/>
      <c r="O89" s="286"/>
      <c r="P89" s="286"/>
      <c r="Q89" s="286"/>
      <c r="R89" s="286"/>
      <c r="S89" s="286"/>
      <c r="T89" s="286"/>
      <c r="U89" s="286"/>
      <c r="V89" s="290"/>
      <c r="W89" s="286"/>
      <c r="X89" s="288"/>
      <c r="Y89" s="286"/>
      <c r="Z89" s="286"/>
      <c r="AA89" s="286"/>
    </row>
    <row r="90" spans="1:27" x14ac:dyDescent="0.35">
      <c r="A90" s="286"/>
      <c r="B90" s="286"/>
      <c r="C90" s="286"/>
      <c r="D90" s="286"/>
      <c r="E90" s="286"/>
      <c r="F90" s="286"/>
      <c r="G90" s="286"/>
      <c r="H90" s="286"/>
      <c r="I90" s="286"/>
      <c r="J90" s="286"/>
      <c r="K90" s="288"/>
      <c r="L90" s="286"/>
      <c r="M90" s="286"/>
      <c r="N90" s="286"/>
      <c r="O90" s="286"/>
      <c r="P90" s="286"/>
      <c r="Q90" s="286"/>
      <c r="R90" s="286"/>
      <c r="S90" s="286"/>
      <c r="T90" s="286"/>
      <c r="U90" s="286"/>
      <c r="V90" s="290"/>
      <c r="W90" s="286"/>
      <c r="X90" s="288"/>
      <c r="Y90" s="286"/>
      <c r="Z90" s="286"/>
      <c r="AA90" s="286"/>
    </row>
    <row r="91" spans="1:27" x14ac:dyDescent="0.35">
      <c r="A91" s="286"/>
      <c r="B91" s="286"/>
      <c r="C91" s="286"/>
      <c r="D91" s="286"/>
      <c r="E91" s="286"/>
      <c r="F91" s="286"/>
      <c r="G91" s="286"/>
      <c r="H91" s="286"/>
      <c r="I91" s="286"/>
      <c r="J91" s="286"/>
      <c r="K91" s="288"/>
      <c r="L91" s="286"/>
      <c r="M91" s="286"/>
      <c r="N91" s="286"/>
      <c r="O91" s="286"/>
      <c r="P91" s="286"/>
      <c r="Q91" s="286"/>
      <c r="R91" s="286"/>
      <c r="S91" s="286"/>
      <c r="T91" s="286"/>
      <c r="U91" s="286"/>
      <c r="V91" s="290"/>
      <c r="W91" s="286"/>
      <c r="X91" s="288"/>
      <c r="Y91" s="286"/>
      <c r="Z91" s="286"/>
      <c r="AA91" s="286"/>
    </row>
    <row r="92" spans="1:27" x14ac:dyDescent="0.35">
      <c r="A92" s="286"/>
      <c r="B92" s="286"/>
      <c r="C92" s="286"/>
      <c r="D92" s="286"/>
      <c r="E92" s="286"/>
      <c r="F92" s="286"/>
      <c r="G92" s="286"/>
      <c r="H92" s="286"/>
      <c r="I92" s="286"/>
      <c r="J92" s="286"/>
      <c r="K92" s="288"/>
      <c r="L92" s="286"/>
      <c r="M92" s="286"/>
      <c r="N92" s="286"/>
      <c r="O92" s="286"/>
      <c r="P92" s="286"/>
      <c r="Q92" s="286"/>
      <c r="R92" s="286"/>
      <c r="S92" s="286"/>
      <c r="T92" s="286"/>
      <c r="U92" s="286"/>
      <c r="V92" s="290"/>
      <c r="W92" s="286"/>
      <c r="X92" s="288"/>
      <c r="Y92" s="286"/>
      <c r="Z92" s="286"/>
      <c r="AA92" s="286"/>
    </row>
    <row r="93" spans="1:27" x14ac:dyDescent="0.35">
      <c r="A93" s="286"/>
      <c r="B93" s="286"/>
      <c r="C93" s="286"/>
      <c r="D93" s="286"/>
      <c r="E93" s="286"/>
      <c r="F93" s="286"/>
      <c r="G93" s="286"/>
      <c r="H93" s="286"/>
      <c r="I93" s="286"/>
      <c r="J93" s="286"/>
      <c r="K93" s="288"/>
      <c r="L93" s="286"/>
      <c r="M93" s="286"/>
      <c r="N93" s="286"/>
      <c r="O93" s="286"/>
      <c r="P93" s="286"/>
      <c r="Q93" s="286"/>
      <c r="R93" s="286"/>
      <c r="S93" s="286"/>
      <c r="T93" s="286"/>
      <c r="U93" s="286"/>
      <c r="V93" s="290"/>
      <c r="W93" s="286"/>
      <c r="X93" s="288"/>
      <c r="Y93" s="286"/>
      <c r="Z93" s="286"/>
      <c r="AA93" s="286"/>
    </row>
    <row r="94" spans="1:27" x14ac:dyDescent="0.35">
      <c r="A94" s="286"/>
      <c r="B94" s="286"/>
      <c r="C94" s="286"/>
      <c r="D94" s="286"/>
      <c r="E94" s="286"/>
      <c r="F94" s="286"/>
      <c r="G94" s="286"/>
      <c r="H94" s="286"/>
      <c r="I94" s="286"/>
      <c r="J94" s="286"/>
      <c r="K94" s="288"/>
      <c r="L94" s="286"/>
      <c r="M94" s="286"/>
      <c r="N94" s="286"/>
      <c r="O94" s="286"/>
      <c r="P94" s="286"/>
      <c r="Q94" s="286"/>
      <c r="R94" s="286"/>
      <c r="S94" s="286"/>
      <c r="T94" s="286"/>
      <c r="U94" s="286"/>
      <c r="V94" s="290"/>
      <c r="W94" s="286"/>
      <c r="X94" s="288"/>
      <c r="Y94" s="286"/>
      <c r="Z94" s="286"/>
      <c r="AA94" s="286"/>
    </row>
    <row r="95" spans="1:27" x14ac:dyDescent="0.35">
      <c r="A95" s="286"/>
      <c r="B95" s="286"/>
      <c r="C95" s="286"/>
      <c r="D95" s="286"/>
      <c r="E95" s="286"/>
      <c r="F95" s="286"/>
      <c r="G95" s="286"/>
      <c r="H95" s="286"/>
      <c r="I95" s="286"/>
      <c r="J95" s="286"/>
      <c r="K95" s="288"/>
      <c r="L95" s="286"/>
      <c r="M95" s="286"/>
      <c r="N95" s="286"/>
      <c r="O95" s="286"/>
      <c r="P95" s="286"/>
      <c r="Q95" s="286"/>
      <c r="R95" s="286"/>
      <c r="S95" s="286"/>
      <c r="T95" s="286"/>
      <c r="U95" s="286"/>
      <c r="V95" s="290"/>
      <c r="W95" s="286"/>
      <c r="X95" s="288"/>
      <c r="Y95" s="286"/>
      <c r="Z95" s="286"/>
      <c r="AA95" s="286"/>
    </row>
    <row r="96" spans="1:27" x14ac:dyDescent="0.35">
      <c r="A96" s="286"/>
      <c r="B96" s="286"/>
      <c r="C96" s="286"/>
      <c r="D96" s="286"/>
      <c r="E96" s="286"/>
      <c r="F96" s="286"/>
      <c r="G96" s="286"/>
      <c r="H96" s="286"/>
      <c r="I96" s="286"/>
      <c r="J96" s="286"/>
      <c r="K96" s="288"/>
      <c r="L96" s="286"/>
      <c r="M96" s="286"/>
      <c r="N96" s="286"/>
      <c r="O96" s="286"/>
      <c r="P96" s="286"/>
      <c r="Q96" s="286"/>
      <c r="R96" s="286"/>
      <c r="S96" s="286"/>
      <c r="T96" s="286"/>
      <c r="U96" s="286"/>
      <c r="V96" s="290"/>
      <c r="W96" s="286"/>
      <c r="X96" s="288"/>
      <c r="Y96" s="286"/>
      <c r="Z96" s="286"/>
      <c r="AA96" s="286"/>
    </row>
    <row r="97" spans="1:27" x14ac:dyDescent="0.35">
      <c r="A97" s="286"/>
      <c r="B97" s="286"/>
      <c r="C97" s="286"/>
      <c r="D97" s="286"/>
      <c r="E97" s="286"/>
      <c r="F97" s="286"/>
      <c r="G97" s="286"/>
      <c r="H97" s="286"/>
      <c r="I97" s="286"/>
      <c r="J97" s="286"/>
      <c r="K97" s="288"/>
      <c r="L97" s="286"/>
      <c r="M97" s="286"/>
      <c r="N97" s="286"/>
      <c r="O97" s="286"/>
      <c r="P97" s="286"/>
      <c r="Q97" s="286"/>
      <c r="R97" s="286"/>
      <c r="S97" s="286"/>
      <c r="T97" s="286"/>
      <c r="U97" s="286"/>
      <c r="V97" s="290"/>
      <c r="W97" s="286"/>
      <c r="X97" s="288"/>
      <c r="Y97" s="286"/>
      <c r="Z97" s="286"/>
      <c r="AA97" s="286"/>
    </row>
    <row r="98" spans="1:27" x14ac:dyDescent="0.35">
      <c r="A98" s="286"/>
      <c r="B98" s="286"/>
      <c r="C98" s="286"/>
      <c r="D98" s="286"/>
      <c r="E98" s="286"/>
      <c r="F98" s="286"/>
      <c r="G98" s="286"/>
      <c r="H98" s="286"/>
      <c r="I98" s="286"/>
      <c r="J98" s="286"/>
      <c r="K98" s="288"/>
      <c r="L98" s="286"/>
      <c r="M98" s="286"/>
      <c r="N98" s="286"/>
      <c r="O98" s="286"/>
      <c r="P98" s="286"/>
      <c r="Q98" s="286"/>
      <c r="R98" s="286"/>
      <c r="S98" s="286"/>
      <c r="T98" s="286"/>
      <c r="U98" s="286"/>
      <c r="V98" s="290"/>
      <c r="W98" s="286"/>
      <c r="X98" s="288"/>
      <c r="Y98" s="286"/>
      <c r="Z98" s="286"/>
      <c r="AA98" s="286"/>
    </row>
    <row r="99" spans="1:27" x14ac:dyDescent="0.35">
      <c r="A99" s="286"/>
      <c r="B99" s="286"/>
      <c r="C99" s="286"/>
      <c r="D99" s="286"/>
      <c r="E99" s="286"/>
      <c r="F99" s="286"/>
      <c r="G99" s="286"/>
      <c r="H99" s="286"/>
      <c r="I99" s="286"/>
      <c r="J99" s="286"/>
      <c r="K99" s="288"/>
      <c r="L99" s="286"/>
      <c r="M99" s="286"/>
      <c r="N99" s="286"/>
      <c r="O99" s="286"/>
      <c r="P99" s="286"/>
      <c r="Q99" s="286"/>
      <c r="R99" s="286"/>
      <c r="S99" s="286"/>
      <c r="T99" s="286"/>
      <c r="U99" s="286"/>
      <c r="V99" s="290"/>
      <c r="W99" s="286"/>
      <c r="X99" s="288"/>
      <c r="Y99" s="286"/>
      <c r="Z99" s="286"/>
      <c r="AA99" s="286"/>
    </row>
    <row r="100" spans="1:27" x14ac:dyDescent="0.35">
      <c r="A100" s="286"/>
      <c r="B100" s="286"/>
      <c r="C100" s="286"/>
      <c r="D100" s="286"/>
      <c r="E100" s="286"/>
      <c r="F100" s="286"/>
      <c r="G100" s="286"/>
      <c r="H100" s="286"/>
      <c r="I100" s="286"/>
      <c r="J100" s="286"/>
      <c r="K100" s="288"/>
      <c r="L100" s="286"/>
      <c r="M100" s="286"/>
      <c r="N100" s="286"/>
      <c r="O100" s="286"/>
      <c r="P100" s="286"/>
      <c r="Q100" s="286"/>
      <c r="R100" s="286"/>
      <c r="S100" s="286"/>
      <c r="T100" s="286"/>
      <c r="U100" s="286"/>
      <c r="V100" s="290"/>
      <c r="W100" s="286"/>
      <c r="X100" s="288"/>
      <c r="Y100" s="286"/>
      <c r="Z100" s="286"/>
      <c r="AA100" s="286"/>
    </row>
    <row r="101" spans="1:27" x14ac:dyDescent="0.35">
      <c r="A101" s="286"/>
      <c r="B101" s="286"/>
      <c r="C101" s="286"/>
      <c r="D101" s="286"/>
      <c r="E101" s="286"/>
      <c r="F101" s="286"/>
      <c r="G101" s="286"/>
      <c r="H101" s="286"/>
      <c r="I101" s="286"/>
      <c r="J101" s="286"/>
      <c r="K101" s="288"/>
      <c r="L101" s="286"/>
      <c r="M101" s="286"/>
      <c r="N101" s="286"/>
      <c r="O101" s="286"/>
      <c r="P101" s="286"/>
      <c r="Q101" s="286"/>
      <c r="R101" s="286"/>
      <c r="S101" s="286"/>
      <c r="T101" s="286"/>
      <c r="U101" s="286"/>
      <c r="V101" s="290"/>
      <c r="W101" s="286"/>
      <c r="X101" s="288"/>
      <c r="Y101" s="286"/>
      <c r="Z101" s="286"/>
      <c r="AA101" s="286"/>
    </row>
    <row r="102" spans="1:27" x14ac:dyDescent="0.35">
      <c r="A102" s="286"/>
      <c r="B102" s="286"/>
      <c r="C102" s="286"/>
      <c r="D102" s="286"/>
      <c r="E102" s="286"/>
      <c r="F102" s="286"/>
      <c r="G102" s="286"/>
      <c r="H102" s="286"/>
      <c r="I102" s="286"/>
      <c r="J102" s="286"/>
      <c r="K102" s="288"/>
      <c r="L102" s="286"/>
      <c r="M102" s="286"/>
      <c r="N102" s="286"/>
      <c r="O102" s="286"/>
      <c r="P102" s="286"/>
      <c r="Q102" s="286"/>
      <c r="R102" s="286"/>
      <c r="S102" s="286"/>
      <c r="T102" s="286"/>
      <c r="U102" s="286"/>
      <c r="V102" s="290"/>
      <c r="W102" s="286"/>
      <c r="X102" s="288"/>
      <c r="Y102" s="286"/>
      <c r="Z102" s="286"/>
      <c r="AA102" s="286"/>
    </row>
    <row r="103" spans="1:27" x14ac:dyDescent="0.35">
      <c r="A103" s="286"/>
      <c r="B103" s="286"/>
      <c r="C103" s="286"/>
      <c r="D103" s="286"/>
      <c r="E103" s="286"/>
      <c r="F103" s="286"/>
      <c r="G103" s="286"/>
      <c r="H103" s="286"/>
      <c r="I103" s="286"/>
      <c r="J103" s="286"/>
      <c r="K103" s="288"/>
      <c r="L103" s="286"/>
      <c r="M103" s="286"/>
      <c r="N103" s="286"/>
      <c r="O103" s="286"/>
      <c r="P103" s="286"/>
      <c r="Q103" s="286"/>
      <c r="R103" s="286"/>
      <c r="S103" s="286"/>
      <c r="T103" s="286"/>
      <c r="U103" s="286"/>
      <c r="V103" s="290"/>
      <c r="W103" s="286"/>
      <c r="X103" s="288"/>
      <c r="Y103" s="286"/>
      <c r="Z103" s="286"/>
      <c r="AA103" s="286"/>
    </row>
    <row r="104" spans="1:27" x14ac:dyDescent="0.35">
      <c r="A104" s="286"/>
      <c r="B104" s="286"/>
      <c r="C104" s="286"/>
      <c r="D104" s="286"/>
      <c r="E104" s="286"/>
      <c r="F104" s="286"/>
      <c r="G104" s="286"/>
      <c r="H104" s="286"/>
      <c r="I104" s="286"/>
      <c r="J104" s="286"/>
      <c r="K104" s="288"/>
      <c r="L104" s="286"/>
      <c r="M104" s="286"/>
      <c r="N104" s="286"/>
      <c r="O104" s="286"/>
      <c r="P104" s="286"/>
      <c r="Q104" s="286"/>
      <c r="R104" s="286"/>
      <c r="S104" s="286"/>
      <c r="T104" s="286"/>
      <c r="U104" s="286"/>
      <c r="V104" s="290"/>
      <c r="W104" s="286"/>
      <c r="X104" s="288"/>
      <c r="Y104" s="286"/>
      <c r="Z104" s="286"/>
      <c r="AA104" s="286"/>
    </row>
    <row r="105" spans="1:27" x14ac:dyDescent="0.35">
      <c r="A105" s="286"/>
      <c r="B105" s="286"/>
      <c r="C105" s="286"/>
      <c r="D105" s="286"/>
      <c r="E105" s="286"/>
      <c r="F105" s="286"/>
      <c r="G105" s="286"/>
      <c r="H105" s="286"/>
      <c r="I105" s="286"/>
      <c r="J105" s="286"/>
      <c r="K105" s="288"/>
      <c r="L105" s="286"/>
      <c r="M105" s="286"/>
      <c r="N105" s="286"/>
      <c r="O105" s="286"/>
      <c r="P105" s="286"/>
      <c r="Q105" s="286"/>
      <c r="R105" s="286"/>
      <c r="S105" s="286"/>
      <c r="T105" s="286"/>
      <c r="U105" s="286"/>
      <c r="V105" s="290"/>
      <c r="W105" s="286"/>
      <c r="X105" s="288"/>
      <c r="Y105" s="286"/>
      <c r="Z105" s="286"/>
      <c r="AA105" s="286"/>
    </row>
    <row r="106" spans="1:27" x14ac:dyDescent="0.35">
      <c r="A106" s="286"/>
      <c r="B106" s="286"/>
      <c r="C106" s="286"/>
      <c r="D106" s="286"/>
      <c r="E106" s="286"/>
      <c r="F106" s="286"/>
      <c r="G106" s="286"/>
      <c r="H106" s="286"/>
      <c r="I106" s="286"/>
      <c r="J106" s="286"/>
      <c r="K106" s="288"/>
      <c r="L106" s="286"/>
      <c r="M106" s="286"/>
      <c r="N106" s="286"/>
      <c r="O106" s="286"/>
      <c r="P106" s="286"/>
      <c r="Q106" s="286"/>
      <c r="R106" s="286"/>
      <c r="S106" s="286"/>
      <c r="T106" s="286"/>
      <c r="U106" s="286"/>
      <c r="V106" s="290"/>
      <c r="W106" s="286"/>
      <c r="X106" s="288"/>
      <c r="Y106" s="286"/>
      <c r="Z106" s="286"/>
      <c r="AA106" s="286"/>
    </row>
    <row r="107" spans="1:27" x14ac:dyDescent="0.35">
      <c r="A107" s="286"/>
      <c r="B107" s="286"/>
      <c r="C107" s="286"/>
      <c r="D107" s="286"/>
      <c r="E107" s="286"/>
      <c r="F107" s="286"/>
      <c r="G107" s="286"/>
      <c r="H107" s="286"/>
      <c r="I107" s="286"/>
      <c r="J107" s="286"/>
      <c r="K107" s="288"/>
      <c r="L107" s="286"/>
      <c r="M107" s="286"/>
      <c r="N107" s="286"/>
      <c r="O107" s="286"/>
      <c r="P107" s="286"/>
      <c r="Q107" s="286"/>
      <c r="R107" s="286"/>
      <c r="S107" s="286"/>
      <c r="T107" s="286"/>
      <c r="U107" s="286"/>
      <c r="V107" s="290"/>
      <c r="W107" s="286"/>
      <c r="X107" s="288"/>
      <c r="Y107" s="286"/>
      <c r="Z107" s="286"/>
      <c r="AA107" s="286"/>
    </row>
    <row r="108" spans="1:27" x14ac:dyDescent="0.35">
      <c r="A108" s="286"/>
      <c r="B108" s="286"/>
      <c r="C108" s="286"/>
      <c r="D108" s="286"/>
      <c r="E108" s="286"/>
      <c r="F108" s="286"/>
      <c r="G108" s="286"/>
      <c r="H108" s="286"/>
      <c r="I108" s="286"/>
      <c r="J108" s="286"/>
      <c r="K108" s="288"/>
      <c r="L108" s="286"/>
      <c r="M108" s="286"/>
      <c r="N108" s="286"/>
      <c r="O108" s="286"/>
      <c r="P108" s="286"/>
      <c r="Q108" s="286"/>
      <c r="R108" s="286"/>
      <c r="S108" s="286"/>
      <c r="T108" s="286"/>
      <c r="U108" s="286"/>
      <c r="V108" s="290"/>
      <c r="W108" s="286"/>
      <c r="X108" s="288"/>
      <c r="Y108" s="286"/>
      <c r="Z108" s="286"/>
      <c r="AA108" s="286"/>
    </row>
    <row r="109" spans="1:27" x14ac:dyDescent="0.35">
      <c r="A109" s="286"/>
      <c r="B109" s="286"/>
      <c r="C109" s="286"/>
      <c r="D109" s="286"/>
      <c r="E109" s="286"/>
      <c r="F109" s="286"/>
      <c r="G109" s="286"/>
      <c r="H109" s="286"/>
      <c r="I109" s="286"/>
      <c r="J109" s="286"/>
      <c r="K109" s="288"/>
      <c r="L109" s="286"/>
      <c r="M109" s="286"/>
      <c r="N109" s="286"/>
      <c r="O109" s="286"/>
      <c r="P109" s="286"/>
      <c r="Q109" s="286"/>
      <c r="R109" s="286"/>
      <c r="S109" s="286"/>
      <c r="T109" s="286"/>
      <c r="U109" s="286"/>
      <c r="V109" s="290"/>
      <c r="W109" s="286"/>
      <c r="X109" s="288"/>
      <c r="Y109" s="286"/>
      <c r="Z109" s="286"/>
      <c r="AA109" s="286"/>
    </row>
    <row r="110" spans="1:27" x14ac:dyDescent="0.35">
      <c r="A110" s="286"/>
      <c r="B110" s="286"/>
      <c r="C110" s="286"/>
      <c r="D110" s="286"/>
      <c r="E110" s="286"/>
      <c r="F110" s="286"/>
      <c r="G110" s="286"/>
      <c r="H110" s="286"/>
      <c r="I110" s="286"/>
      <c r="J110" s="286"/>
      <c r="K110" s="288"/>
      <c r="L110" s="286"/>
      <c r="M110" s="286"/>
      <c r="N110" s="286"/>
      <c r="O110" s="286"/>
      <c r="P110" s="286"/>
      <c r="Q110" s="286"/>
      <c r="R110" s="286"/>
      <c r="S110" s="286"/>
      <c r="T110" s="286"/>
      <c r="U110" s="286"/>
      <c r="V110" s="290"/>
      <c r="W110" s="286"/>
      <c r="X110" s="288"/>
      <c r="Y110" s="286"/>
      <c r="Z110" s="286"/>
      <c r="AA110" s="286"/>
    </row>
    <row r="111" spans="1:27" x14ac:dyDescent="0.35">
      <c r="A111" s="286"/>
      <c r="B111" s="286"/>
      <c r="C111" s="286"/>
      <c r="D111" s="286"/>
      <c r="E111" s="286"/>
      <c r="F111" s="286"/>
      <c r="G111" s="286"/>
      <c r="H111" s="286"/>
      <c r="I111" s="286"/>
      <c r="J111" s="286"/>
      <c r="K111" s="288"/>
      <c r="L111" s="286"/>
      <c r="M111" s="286"/>
      <c r="N111" s="286"/>
      <c r="O111" s="286"/>
      <c r="P111" s="286"/>
      <c r="Q111" s="286"/>
      <c r="R111" s="286"/>
      <c r="S111" s="286"/>
      <c r="T111" s="286"/>
      <c r="U111" s="286"/>
      <c r="V111" s="290"/>
      <c r="W111" s="286"/>
      <c r="X111" s="288"/>
      <c r="Y111" s="286"/>
      <c r="Z111" s="286"/>
      <c r="AA111" s="286"/>
    </row>
    <row r="112" spans="1:27" x14ac:dyDescent="0.35">
      <c r="A112" s="286"/>
      <c r="B112" s="286"/>
      <c r="C112" s="286"/>
      <c r="D112" s="286"/>
      <c r="E112" s="286"/>
      <c r="F112" s="286"/>
      <c r="G112" s="286"/>
      <c r="H112" s="286"/>
      <c r="I112" s="286"/>
      <c r="J112" s="286"/>
      <c r="K112" s="288"/>
      <c r="L112" s="286"/>
      <c r="M112" s="286"/>
      <c r="N112" s="286"/>
      <c r="O112" s="286"/>
      <c r="P112" s="286"/>
      <c r="Q112" s="286"/>
      <c r="R112" s="286"/>
      <c r="S112" s="286"/>
      <c r="T112" s="286"/>
      <c r="U112" s="286"/>
      <c r="V112" s="290"/>
      <c r="W112" s="286"/>
      <c r="X112" s="288"/>
      <c r="Y112" s="286"/>
      <c r="Z112" s="286"/>
      <c r="AA112" s="286"/>
    </row>
    <row r="113" spans="1:27" x14ac:dyDescent="0.35">
      <c r="A113" s="286"/>
      <c r="B113" s="286"/>
      <c r="C113" s="286"/>
      <c r="D113" s="286"/>
      <c r="E113" s="286"/>
      <c r="F113" s="286"/>
      <c r="G113" s="286"/>
      <c r="H113" s="286"/>
      <c r="I113" s="286"/>
      <c r="J113" s="286"/>
      <c r="K113" s="288"/>
      <c r="L113" s="286"/>
      <c r="M113" s="286"/>
      <c r="N113" s="286"/>
      <c r="O113" s="286"/>
      <c r="P113" s="286"/>
      <c r="Q113" s="286"/>
      <c r="R113" s="286"/>
      <c r="S113" s="286"/>
      <c r="T113" s="286"/>
      <c r="U113" s="286"/>
      <c r="V113" s="290"/>
      <c r="W113" s="286"/>
      <c r="X113" s="288"/>
      <c r="Y113" s="286"/>
      <c r="Z113" s="286"/>
      <c r="AA113" s="286"/>
    </row>
    <row r="114" spans="1:27" x14ac:dyDescent="0.35">
      <c r="A114" s="286"/>
      <c r="B114" s="286"/>
      <c r="C114" s="286"/>
      <c r="D114" s="286"/>
      <c r="E114" s="286"/>
      <c r="F114" s="286"/>
      <c r="G114" s="286"/>
      <c r="H114" s="286"/>
      <c r="I114" s="286"/>
      <c r="J114" s="286"/>
      <c r="K114" s="288"/>
      <c r="L114" s="286"/>
      <c r="M114" s="286"/>
      <c r="N114" s="286"/>
      <c r="O114" s="286"/>
      <c r="P114" s="286"/>
      <c r="Q114" s="286"/>
      <c r="R114" s="286"/>
      <c r="S114" s="286"/>
      <c r="T114" s="286"/>
      <c r="U114" s="286"/>
      <c r="V114" s="290"/>
      <c r="W114" s="286"/>
      <c r="X114" s="288"/>
      <c r="Y114" s="286"/>
      <c r="Z114" s="286"/>
      <c r="AA114" s="286"/>
    </row>
    <row r="115" spans="1:27" x14ac:dyDescent="0.35">
      <c r="A115" s="286"/>
      <c r="B115" s="286"/>
      <c r="C115" s="286"/>
      <c r="D115" s="286"/>
      <c r="E115" s="286"/>
      <c r="F115" s="286"/>
      <c r="G115" s="286"/>
      <c r="H115" s="286"/>
      <c r="I115" s="286"/>
      <c r="J115" s="286"/>
      <c r="K115" s="288"/>
      <c r="L115" s="286"/>
      <c r="M115" s="286"/>
      <c r="N115" s="286"/>
      <c r="O115" s="286"/>
      <c r="P115" s="286"/>
      <c r="Q115" s="286"/>
      <c r="R115" s="286"/>
      <c r="S115" s="286"/>
      <c r="T115" s="286"/>
      <c r="U115" s="286"/>
      <c r="V115" s="290"/>
      <c r="W115" s="286"/>
      <c r="X115" s="288"/>
      <c r="Y115" s="286"/>
      <c r="Z115" s="286"/>
      <c r="AA115" s="286"/>
    </row>
    <row r="116" spans="1:27" x14ac:dyDescent="0.35">
      <c r="A116" s="286"/>
      <c r="B116" s="286"/>
      <c r="C116" s="286"/>
      <c r="D116" s="286"/>
      <c r="E116" s="286"/>
      <c r="F116" s="286"/>
      <c r="G116" s="286"/>
      <c r="H116" s="286"/>
      <c r="I116" s="286"/>
      <c r="J116" s="286"/>
      <c r="K116" s="288"/>
      <c r="L116" s="286"/>
      <c r="M116" s="286"/>
      <c r="N116" s="286"/>
      <c r="O116" s="286"/>
      <c r="P116" s="286"/>
      <c r="Q116" s="286"/>
      <c r="R116" s="286"/>
      <c r="S116" s="286"/>
      <c r="T116" s="286"/>
      <c r="U116" s="286"/>
      <c r="V116" s="290"/>
      <c r="W116" s="286"/>
      <c r="X116" s="288"/>
      <c r="Y116" s="286"/>
      <c r="Z116" s="286"/>
      <c r="AA116" s="286"/>
    </row>
    <row r="117" spans="1:27" x14ac:dyDescent="0.35">
      <c r="A117" s="286"/>
      <c r="B117" s="286"/>
      <c r="C117" s="286"/>
      <c r="D117" s="286"/>
      <c r="E117" s="286"/>
      <c r="F117" s="286"/>
      <c r="G117" s="286"/>
      <c r="H117" s="286"/>
      <c r="I117" s="286"/>
      <c r="J117" s="286"/>
      <c r="K117" s="288"/>
      <c r="L117" s="286"/>
      <c r="M117" s="286"/>
      <c r="N117" s="286"/>
      <c r="O117" s="286"/>
      <c r="P117" s="286"/>
      <c r="Q117" s="286"/>
      <c r="R117" s="286"/>
      <c r="S117" s="286"/>
      <c r="T117" s="286"/>
      <c r="U117" s="286"/>
      <c r="V117" s="290"/>
      <c r="W117" s="286"/>
      <c r="X117" s="288"/>
      <c r="Y117" s="286"/>
      <c r="Z117" s="286"/>
      <c r="AA117" s="286"/>
    </row>
    <row r="118" spans="1:27" x14ac:dyDescent="0.35">
      <c r="A118" s="286"/>
      <c r="B118" s="286"/>
      <c r="C118" s="286"/>
      <c r="D118" s="286"/>
      <c r="E118" s="286"/>
      <c r="F118" s="286"/>
      <c r="G118" s="286"/>
      <c r="H118" s="286"/>
      <c r="I118" s="286"/>
      <c r="J118" s="286"/>
      <c r="K118" s="288"/>
      <c r="L118" s="286"/>
      <c r="M118" s="286"/>
      <c r="N118" s="286"/>
      <c r="O118" s="286"/>
      <c r="P118" s="286"/>
      <c r="Q118" s="286"/>
      <c r="R118" s="286"/>
      <c r="S118" s="286"/>
      <c r="T118" s="286"/>
      <c r="U118" s="286"/>
      <c r="V118" s="290"/>
      <c r="W118" s="286"/>
      <c r="X118" s="288"/>
      <c r="Y118" s="286"/>
      <c r="Z118" s="286"/>
      <c r="AA118" s="286"/>
    </row>
    <row r="119" spans="1:27" x14ac:dyDescent="0.35">
      <c r="A119" s="286"/>
      <c r="B119" s="286"/>
      <c r="C119" s="286"/>
      <c r="D119" s="286"/>
      <c r="E119" s="286"/>
      <c r="F119" s="286"/>
      <c r="G119" s="286"/>
      <c r="H119" s="286"/>
      <c r="I119" s="286"/>
      <c r="J119" s="286"/>
      <c r="K119" s="288"/>
      <c r="L119" s="286"/>
      <c r="M119" s="286"/>
      <c r="N119" s="286"/>
      <c r="O119" s="286"/>
      <c r="P119" s="286"/>
      <c r="Q119" s="286"/>
      <c r="R119" s="286"/>
      <c r="S119" s="286"/>
      <c r="T119" s="286"/>
      <c r="U119" s="286"/>
      <c r="V119" s="290"/>
      <c r="W119" s="286"/>
      <c r="X119" s="288"/>
      <c r="Y119" s="286"/>
      <c r="Z119" s="286"/>
      <c r="AA119" s="286"/>
    </row>
    <row r="120" spans="1:27" x14ac:dyDescent="0.35">
      <c r="K120" s="15"/>
      <c r="V120" s="34"/>
      <c r="X120" s="116"/>
    </row>
    <row r="121" spans="1:27" x14ac:dyDescent="0.35">
      <c r="K121" s="15"/>
      <c r="V121" s="34"/>
      <c r="X121" s="116"/>
    </row>
  </sheetData>
  <sheetProtection algorithmName="SHA-512" hashValue="JDzoP55QjwgaCRS+Mwf07dOwFmEptQV4JfBPApfkG6+1CqsVCTUO87NUarvjuH40Xx9SN9x0SPKJeWlv1OXxdw==" saltValue="eiYk+1vBZTusKiI3TH8stw==" spinCount="100000" sheet="1" objects="1" scenarios="1" selectLockedCells="1" selectUnlockedCells="1"/>
  <mergeCells count="101">
    <mergeCell ref="P36:R36"/>
    <mergeCell ref="S36:T36"/>
    <mergeCell ref="M37:Q37"/>
    <mergeCell ref="R37:T37"/>
    <mergeCell ref="S8:T8"/>
    <mergeCell ref="M34:N34"/>
    <mergeCell ref="P34:R34"/>
    <mergeCell ref="S34:T34"/>
    <mergeCell ref="P35:R35"/>
    <mergeCell ref="R28:R29"/>
    <mergeCell ref="S28:T29"/>
    <mergeCell ref="S30:T30"/>
    <mergeCell ref="S31:T31"/>
    <mergeCell ref="S32:T32"/>
    <mergeCell ref="M28:M29"/>
    <mergeCell ref="N28:N29"/>
    <mergeCell ref="O28:O29"/>
    <mergeCell ref="P28:P29"/>
    <mergeCell ref="Q28:Q29"/>
    <mergeCell ref="D37:F37"/>
    <mergeCell ref="P23:R23"/>
    <mergeCell ref="D38:F38"/>
    <mergeCell ref="G38:H38"/>
    <mergeCell ref="M24:T25"/>
    <mergeCell ref="A39:E39"/>
    <mergeCell ref="F39:H39"/>
    <mergeCell ref="D35:F35"/>
    <mergeCell ref="M5:Q5"/>
    <mergeCell ref="R5:T5"/>
    <mergeCell ref="D36:F36"/>
    <mergeCell ref="G36:H36"/>
    <mergeCell ref="M26:Q26"/>
    <mergeCell ref="R26:T26"/>
    <mergeCell ref="M27:Q27"/>
    <mergeCell ref="R27:T27"/>
    <mergeCell ref="D33:F33"/>
    <mergeCell ref="G33:H33"/>
    <mergeCell ref="P22:R22"/>
    <mergeCell ref="S22:T22"/>
    <mergeCell ref="D34:F34"/>
    <mergeCell ref="G34:H34"/>
    <mergeCell ref="O13:R13"/>
    <mergeCell ref="A26:B26"/>
    <mergeCell ref="M4:Q4"/>
    <mergeCell ref="R4:T4"/>
    <mergeCell ref="D31:F31"/>
    <mergeCell ref="P20:R20"/>
    <mergeCell ref="D32:F32"/>
    <mergeCell ref="G32:H32"/>
    <mergeCell ref="P21:R21"/>
    <mergeCell ref="S21:T21"/>
    <mergeCell ref="D29:F29"/>
    <mergeCell ref="G29:H29"/>
    <mergeCell ref="P18:R18"/>
    <mergeCell ref="S18:T18"/>
    <mergeCell ref="D30:F30"/>
    <mergeCell ref="G30:H30"/>
    <mergeCell ref="P19:R19"/>
    <mergeCell ref="S19:T19"/>
    <mergeCell ref="D27:F27"/>
    <mergeCell ref="D28:F28"/>
    <mergeCell ref="G28:H28"/>
    <mergeCell ref="A13:E13"/>
    <mergeCell ref="F13:H13"/>
    <mergeCell ref="G23:H23"/>
    <mergeCell ref="S12:T12"/>
    <mergeCell ref="G24:H24"/>
    <mergeCell ref="D26:F26"/>
    <mergeCell ref="G26:H26"/>
    <mergeCell ref="M15:N15"/>
    <mergeCell ref="P15:R15"/>
    <mergeCell ref="S15:T15"/>
    <mergeCell ref="A14:E14"/>
    <mergeCell ref="F14:H14"/>
    <mergeCell ref="P16:R16"/>
    <mergeCell ref="P17:R17"/>
    <mergeCell ref="S17:T17"/>
    <mergeCell ref="A3:H3"/>
    <mergeCell ref="A1:H2"/>
    <mergeCell ref="M6:T7"/>
    <mergeCell ref="G20:H20"/>
    <mergeCell ref="S9:T9"/>
    <mergeCell ref="G21:H21"/>
    <mergeCell ref="S10:T10"/>
    <mergeCell ref="G22:H22"/>
    <mergeCell ref="S11:T11"/>
    <mergeCell ref="A16:H17"/>
    <mergeCell ref="M1:T2"/>
    <mergeCell ref="A18:H18"/>
    <mergeCell ref="M3:T3"/>
    <mergeCell ref="G19:H19"/>
    <mergeCell ref="A4:E4"/>
    <mergeCell ref="F4:H4"/>
    <mergeCell ref="A5:E5"/>
    <mergeCell ref="F5:H5"/>
    <mergeCell ref="A6:E6"/>
    <mergeCell ref="F6:H6"/>
    <mergeCell ref="A8:H9"/>
    <mergeCell ref="A10:H11"/>
    <mergeCell ref="A12:E12"/>
    <mergeCell ref="F12:H12"/>
  </mergeCells>
  <conditionalFormatting sqref="M17 M23">
    <cfRule type="cellIs" dxfId="21" priority="4" stopIfTrue="1" operator="notEqual">
      <formula>0</formula>
    </cfRule>
  </conditionalFormatting>
  <conditionalFormatting sqref="Q30:Q32 Q9:Q12">
    <cfRule type="cellIs" dxfId="20" priority="3" stopIfTrue="1" operator="greaterThan">
      <formula>0.9</formula>
    </cfRule>
  </conditionalFormatting>
  <conditionalFormatting sqref="A37 A31">
    <cfRule type="cellIs" dxfId="19" priority="2" stopIfTrue="1" operator="notEqual">
      <formula>0</formula>
    </cfRule>
  </conditionalFormatting>
  <conditionalFormatting sqref="E20:E24">
    <cfRule type="cellIs" dxfId="18" priority="1" stopIfTrue="1" operator="greaterThan">
      <formula>0.9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>
    <tabColor theme="6" tint="-0.249977111117893"/>
  </sheetPr>
  <dimension ref="A1:BG121"/>
  <sheetViews>
    <sheetView zoomScale="60" zoomScaleNormal="60" workbookViewId="0">
      <selection sqref="A1:XFD1048576"/>
    </sheetView>
  </sheetViews>
  <sheetFormatPr baseColWidth="10" defaultColWidth="11.25" defaultRowHeight="18" x14ac:dyDescent="0.35"/>
  <cols>
    <col min="1" max="1" width="33.75" style="14" customWidth="1"/>
    <col min="2" max="2" width="15.25" style="14" customWidth="1"/>
    <col min="3" max="3" width="3.25" style="14" customWidth="1"/>
    <col min="4" max="4" width="21.5" style="14" customWidth="1"/>
    <col min="5" max="5" width="9.75" style="14" customWidth="1"/>
    <col min="6" max="6" width="26.25" style="14" customWidth="1"/>
    <col min="7" max="7" width="4" style="14" customWidth="1"/>
    <col min="8" max="8" width="13.75" style="14" customWidth="1"/>
    <col min="9" max="9" width="78.83203125" style="14" hidden="1" customWidth="1"/>
    <col min="10" max="10" width="0" style="14" hidden="1" customWidth="1"/>
    <col min="11" max="11" width="11.25" style="14" hidden="1" customWidth="1"/>
    <col min="12" max="12" width="11.25" style="31"/>
    <col min="13" max="13" width="31.75" style="7" customWidth="1"/>
    <col min="14" max="14" width="20" style="7" customWidth="1"/>
    <col min="15" max="15" width="9.25" style="7" customWidth="1"/>
    <col min="16" max="16" width="32" style="7" customWidth="1"/>
    <col min="17" max="17" width="2.25" style="7" customWidth="1"/>
    <col min="18" max="18" width="14.83203125" style="7" customWidth="1"/>
    <col min="19" max="19" width="11.25" style="7" bestFit="1" customWidth="1"/>
    <col min="20" max="20" width="16.75" style="7" customWidth="1"/>
    <col min="21" max="21" width="11.25" style="31"/>
    <col min="22" max="22" width="60.83203125" style="179" hidden="1" customWidth="1"/>
    <col min="23" max="23" width="37.33203125" style="10" hidden="1" customWidth="1"/>
    <col min="24" max="24" width="37.33203125" style="118" hidden="1" customWidth="1"/>
    <col min="25" max="25" width="0" style="31" hidden="1" customWidth="1"/>
    <col min="26" max="27" width="11.25" style="31"/>
    <col min="28" max="59" width="11.25" style="286"/>
    <col min="60" max="16384" width="11.25" style="14"/>
  </cols>
  <sheetData>
    <row r="1" spans="1:25" ht="39.65" customHeight="1" thickBot="1" x14ac:dyDescent="0.4">
      <c r="A1" s="625" t="s">
        <v>149</v>
      </c>
      <c r="B1" s="626"/>
      <c r="C1" s="626"/>
      <c r="D1" s="626"/>
      <c r="E1" s="626"/>
      <c r="F1" s="626"/>
      <c r="G1" s="626"/>
      <c r="H1" s="627"/>
      <c r="K1" s="15"/>
      <c r="M1" s="625" t="s">
        <v>155</v>
      </c>
      <c r="N1" s="626"/>
      <c r="O1" s="626"/>
      <c r="P1" s="626"/>
      <c r="Q1" s="626"/>
      <c r="R1" s="626"/>
      <c r="S1" s="626"/>
      <c r="T1" s="627"/>
      <c r="U1" s="241"/>
    </row>
    <row r="2" spans="1:25" ht="6" hidden="1" customHeight="1" thickBot="1" x14ac:dyDescent="0.4">
      <c r="A2" s="628"/>
      <c r="B2" s="629"/>
      <c r="C2" s="629"/>
      <c r="D2" s="629"/>
      <c r="E2" s="629"/>
      <c r="F2" s="629"/>
      <c r="G2" s="629"/>
      <c r="H2" s="630"/>
      <c r="K2" s="15"/>
      <c r="M2" s="628"/>
      <c r="N2" s="629"/>
      <c r="O2" s="629"/>
      <c r="P2" s="629"/>
      <c r="Q2" s="629"/>
      <c r="R2" s="629"/>
      <c r="S2" s="629"/>
      <c r="T2" s="630"/>
      <c r="U2" s="241"/>
    </row>
    <row r="3" spans="1:25" ht="33.65" customHeight="1" thickBot="1" x14ac:dyDescent="0.4">
      <c r="A3" s="484" t="s">
        <v>150</v>
      </c>
      <c r="B3" s="485"/>
      <c r="C3" s="485"/>
      <c r="D3" s="485"/>
      <c r="E3" s="485"/>
      <c r="F3" s="485"/>
      <c r="G3" s="485"/>
      <c r="H3" s="486"/>
      <c r="K3" s="15"/>
      <c r="M3" s="631" t="s">
        <v>154</v>
      </c>
      <c r="N3" s="632"/>
      <c r="O3" s="632"/>
      <c r="P3" s="632"/>
      <c r="Q3" s="632"/>
      <c r="R3" s="632"/>
      <c r="S3" s="632"/>
      <c r="T3" s="633"/>
      <c r="U3" s="241"/>
    </row>
    <row r="4" spans="1:25" ht="38.5" customHeight="1" thickBot="1" x14ac:dyDescent="0.4">
      <c r="A4" s="634" t="s">
        <v>92</v>
      </c>
      <c r="B4" s="635"/>
      <c r="C4" s="635"/>
      <c r="D4" s="635"/>
      <c r="E4" s="635"/>
      <c r="F4" s="636" t="str">
        <f>IF(CDP!F41&lt;=1.5,"!!!!!!!!!!!",IF(AND(CDP!F41&lt;1.5,LL!B25=50/100*LL!B38),LL!B38,G26+G30+G34))</f>
        <v>!!!!!!!!!!!</v>
      </c>
      <c r="G4" s="637"/>
      <c r="H4" s="638"/>
      <c r="I4" s="16" t="s">
        <v>11</v>
      </c>
      <c r="J4" s="17"/>
      <c r="K4" s="15" t="e">
        <f>G26*30/70</f>
        <v>#VALUE!</v>
      </c>
      <c r="L4" s="33"/>
      <c r="M4" s="634" t="s">
        <v>157</v>
      </c>
      <c r="N4" s="635"/>
      <c r="O4" s="635"/>
      <c r="P4" s="635"/>
      <c r="Q4" s="635"/>
      <c r="R4" s="636" t="e">
        <f>S13+S17+S21</f>
        <v>#VALUE!</v>
      </c>
      <c r="S4" s="637"/>
      <c r="T4" s="638"/>
      <c r="U4" s="240"/>
    </row>
    <row r="5" spans="1:25" ht="39" customHeight="1" thickBot="1" x14ac:dyDescent="0.4">
      <c r="A5" s="634" t="s">
        <v>95</v>
      </c>
      <c r="B5" s="635"/>
      <c r="C5" s="635"/>
      <c r="D5" s="635"/>
      <c r="E5" s="635"/>
      <c r="F5" s="636" t="str">
        <f>IF(CDP!F41&lt;=1.5,"!!!!!!!!!!!",G38)</f>
        <v>!!!!!!!!!!!</v>
      </c>
      <c r="G5" s="637"/>
      <c r="H5" s="638"/>
      <c r="I5" s="20" t="s">
        <v>24</v>
      </c>
      <c r="J5" s="18"/>
      <c r="K5" s="15">
        <f>B31</f>
        <v>0</v>
      </c>
      <c r="M5" s="649" t="s">
        <v>158</v>
      </c>
      <c r="N5" s="650"/>
      <c r="O5" s="650"/>
      <c r="P5" s="650"/>
      <c r="Q5" s="651"/>
      <c r="R5" s="652" t="e">
        <f>S15+S19+S25</f>
        <v>#VALUE!</v>
      </c>
      <c r="S5" s="653"/>
      <c r="T5" s="654"/>
      <c r="U5" s="242"/>
      <c r="V5" s="179" t="s">
        <v>16</v>
      </c>
      <c r="X5" s="118" t="e">
        <f>S35+S36</f>
        <v>#VALUE!</v>
      </c>
      <c r="Y5" s="33"/>
    </row>
    <row r="6" spans="1:25" ht="26.5" customHeight="1" thickBot="1" x14ac:dyDescent="0.4">
      <c r="A6" s="649" t="s">
        <v>97</v>
      </c>
      <c r="B6" s="650"/>
      <c r="C6" s="650"/>
      <c r="D6" s="650"/>
      <c r="E6" s="651"/>
      <c r="F6" s="652" t="str">
        <f>IF(CDP!F41&lt;=1.5,"!!!!!!!!!!!",LL!G28+LL!G32)</f>
        <v>!!!!!!!!!!!</v>
      </c>
      <c r="G6" s="653"/>
      <c r="H6" s="654"/>
      <c r="I6" s="20" t="s">
        <v>29</v>
      </c>
      <c r="J6" s="18"/>
      <c r="K6" s="15" t="e">
        <f>IF((G26*100/F4)&gt;70,100-(G26*100/F4),30)</f>
        <v>#VALUE!</v>
      </c>
      <c r="L6" s="92"/>
      <c r="M6" s="530" t="s">
        <v>151</v>
      </c>
      <c r="N6" s="531"/>
      <c r="O6" s="531"/>
      <c r="P6" s="531"/>
      <c r="Q6" s="531"/>
      <c r="R6" s="531"/>
      <c r="S6" s="531"/>
      <c r="T6" s="532"/>
      <c r="U6" s="242"/>
      <c r="V6" s="179" t="s">
        <v>26</v>
      </c>
      <c r="W6" s="169"/>
      <c r="X6" s="118" t="e">
        <f>S37</f>
        <v>#VALUE!</v>
      </c>
    </row>
    <row r="7" spans="1:25" ht="12" customHeight="1" thickBot="1" x14ac:dyDescent="0.4">
      <c r="A7" s="179"/>
      <c r="B7" s="179"/>
      <c r="C7" s="179"/>
      <c r="D7" s="179"/>
      <c r="E7" s="179"/>
      <c r="F7" s="179"/>
      <c r="G7" s="179"/>
      <c r="H7" s="179"/>
      <c r="I7" s="136"/>
      <c r="J7" s="33"/>
      <c r="K7" s="116"/>
      <c r="M7" s="533"/>
      <c r="N7" s="534"/>
      <c r="O7" s="534"/>
      <c r="P7" s="534"/>
      <c r="Q7" s="534"/>
      <c r="R7" s="534"/>
      <c r="S7" s="534"/>
      <c r="T7" s="535"/>
      <c r="U7" s="242"/>
      <c r="V7" s="179" t="s">
        <v>31</v>
      </c>
      <c r="X7" s="118" t="e">
        <f>IF(X6&gt;X5,X5,X6)</f>
        <v>#VALUE!</v>
      </c>
      <c r="Y7" s="92"/>
    </row>
    <row r="8" spans="1:25" ht="46.9" customHeight="1" x14ac:dyDescent="0.35">
      <c r="A8" s="639" t="s">
        <v>168</v>
      </c>
      <c r="B8" s="640"/>
      <c r="C8" s="640"/>
      <c r="D8" s="640"/>
      <c r="E8" s="640"/>
      <c r="F8" s="640"/>
      <c r="G8" s="640"/>
      <c r="H8" s="641"/>
      <c r="I8" s="20" t="s">
        <v>35</v>
      </c>
      <c r="J8" s="18"/>
      <c r="K8" s="21" t="e">
        <f>IF(B31&gt;K4,K4,B31)</f>
        <v>#VALUE!</v>
      </c>
      <c r="M8" s="645" t="s">
        <v>4</v>
      </c>
      <c r="N8" s="647" t="s">
        <v>15</v>
      </c>
      <c r="O8" s="512" t="s">
        <v>6</v>
      </c>
      <c r="P8" s="512" t="s">
        <v>13</v>
      </c>
      <c r="Q8" s="512" t="s">
        <v>8</v>
      </c>
      <c r="R8" s="512" t="s">
        <v>9</v>
      </c>
      <c r="S8" s="512" t="s">
        <v>10</v>
      </c>
      <c r="T8" s="512"/>
      <c r="U8" s="242"/>
      <c r="V8" s="253" t="s">
        <v>21</v>
      </c>
      <c r="W8" s="254"/>
      <c r="X8" s="118" t="e">
        <f>S40*20/80</f>
        <v>#VALUE!</v>
      </c>
    </row>
    <row r="9" spans="1:25" ht="6.65" customHeight="1" thickBot="1" x14ac:dyDescent="0.4">
      <c r="A9" s="642"/>
      <c r="B9" s="643"/>
      <c r="C9" s="643"/>
      <c r="D9" s="643"/>
      <c r="E9" s="643"/>
      <c r="F9" s="643"/>
      <c r="G9" s="643"/>
      <c r="H9" s="644"/>
      <c r="I9" s="20"/>
      <c r="J9" s="18"/>
      <c r="K9" s="15"/>
      <c r="M9" s="646"/>
      <c r="N9" s="648"/>
      <c r="O9" s="512"/>
      <c r="P9" s="512"/>
      <c r="Q9" s="512"/>
      <c r="R9" s="512"/>
      <c r="S9" s="512"/>
      <c r="T9" s="512"/>
      <c r="U9" s="242"/>
      <c r="V9" s="253" t="s">
        <v>24</v>
      </c>
      <c r="W9" s="66"/>
      <c r="X9" s="118" t="e">
        <f>N41+X16</f>
        <v>#VALUE!</v>
      </c>
    </row>
    <row r="10" spans="1:25" ht="22.9" customHeight="1" x14ac:dyDescent="0.35">
      <c r="A10" s="530" t="s">
        <v>150</v>
      </c>
      <c r="B10" s="531"/>
      <c r="C10" s="531"/>
      <c r="D10" s="531"/>
      <c r="E10" s="531"/>
      <c r="F10" s="531"/>
      <c r="G10" s="531"/>
      <c r="H10" s="532"/>
      <c r="I10" s="19" t="s">
        <v>44</v>
      </c>
      <c r="J10" s="18"/>
      <c r="K10" s="15" t="e">
        <f>IF(K8=K4,0,IF(K8&lt;(G26*10/70),G26*20/70,IF(K8=(G26*10/70),G26*20/70,IF(K8&gt;(G26*10/70),(G26*30/70)-K8,0))))</f>
        <v>#VALUE!</v>
      </c>
      <c r="M10" s="181" t="s">
        <v>23</v>
      </c>
      <c r="N10" s="115" t="str">
        <f>IF(CDP!$D$23="LL",CDP!$C$23,"")</f>
        <v/>
      </c>
      <c r="O10" s="86" t="e">
        <f>N10/(N$25+0.00001)</f>
        <v>#VALUE!</v>
      </c>
      <c r="P10" s="87" t="e">
        <f>IF(O10&lt;60%,N10,1.5*N11)</f>
        <v>#VALUE!</v>
      </c>
      <c r="Q10" s="86" t="e">
        <f>S10/(R$4+0.00001)</f>
        <v>#VALUE!</v>
      </c>
      <c r="R10" s="80" t="e">
        <f>IF(OR($P$10=$N$12,$O$11=$N$12,O10=100%),0,P10)</f>
        <v>#VALUE!</v>
      </c>
      <c r="S10" s="499" t="e">
        <f>R10</f>
        <v>#VALUE!</v>
      </c>
      <c r="T10" s="499"/>
      <c r="U10" s="32"/>
      <c r="V10" s="253" t="s">
        <v>29</v>
      </c>
      <c r="W10" s="66"/>
      <c r="X10" s="118" t="e">
        <f>IF((S40*100/R30)&gt;80,100-(S40*100/R30),20)</f>
        <v>#VALUE!</v>
      </c>
    </row>
    <row r="11" spans="1:25" ht="20.5" customHeight="1" thickBot="1" x14ac:dyDescent="0.4">
      <c r="A11" s="533"/>
      <c r="B11" s="534"/>
      <c r="C11" s="534"/>
      <c r="D11" s="534"/>
      <c r="E11" s="534"/>
      <c r="F11" s="534"/>
      <c r="G11" s="534"/>
      <c r="H11" s="535"/>
      <c r="I11" s="19" t="s">
        <v>48</v>
      </c>
      <c r="J11" s="18"/>
      <c r="K11" s="15" t="e">
        <f>IF(K10&lt;B35+B34+B36+B33,K10,B35+B34+B36+B33)</f>
        <v>#VALUE!</v>
      </c>
      <c r="M11" s="190" t="s">
        <v>34</v>
      </c>
      <c r="N11" s="115" t="str">
        <f>IF(CDP!$D$27="LL",CDP!$C$27,"")</f>
        <v/>
      </c>
      <c r="O11" s="86" t="e">
        <f>N11/(N$25+0.00001)</f>
        <v>#VALUE!</v>
      </c>
      <c r="P11" s="87" t="e">
        <f>IF(O11&lt;60%,N11,1.5*N10)</f>
        <v>#VALUE!</v>
      </c>
      <c r="Q11" s="86" t="e">
        <f>S11/(R$4+0.00001)</f>
        <v>#VALUE!</v>
      </c>
      <c r="R11" s="80" t="e">
        <f>IF(OR($P$10=$N$12,$O$11=$N$12,O11=100%),0,P11)</f>
        <v>#VALUE!</v>
      </c>
      <c r="S11" s="499" t="e">
        <f>R11</f>
        <v>#VALUE!</v>
      </c>
      <c r="T11" s="499"/>
      <c r="U11" s="243"/>
      <c r="V11" s="253" t="s">
        <v>35</v>
      </c>
      <c r="W11" s="66"/>
      <c r="X11" s="118" t="e">
        <f>IF(N41=0,X16,IF((X16+N41)&gt;X8,X8,(X16+N41)))</f>
        <v>#VALUE!</v>
      </c>
    </row>
    <row r="12" spans="1:25" ht="24.65" customHeight="1" thickBot="1" x14ac:dyDescent="0.4">
      <c r="A12" s="634" t="s">
        <v>99</v>
      </c>
      <c r="B12" s="635"/>
      <c r="C12" s="635"/>
      <c r="D12" s="635"/>
      <c r="E12" s="635"/>
      <c r="F12" s="636">
        <f>IF(CDP!F41&lt;1.5,K37+K38,"")</f>
        <v>0</v>
      </c>
      <c r="G12" s="637"/>
      <c r="H12" s="638"/>
      <c r="I12" s="19"/>
      <c r="J12" s="18"/>
      <c r="K12" s="15"/>
      <c r="M12" s="191" t="s">
        <v>37</v>
      </c>
      <c r="N12" s="192">
        <f>SUM(N10:N11)</f>
        <v>0</v>
      </c>
      <c r="O12" s="30"/>
      <c r="P12" s="34"/>
      <c r="Q12" s="30"/>
      <c r="R12" s="34"/>
      <c r="S12" s="615"/>
      <c r="T12" s="615"/>
      <c r="U12" s="108"/>
    </row>
    <row r="13" spans="1:25" ht="26.5" customHeight="1" thickBot="1" x14ac:dyDescent="0.4">
      <c r="A13" s="634" t="s">
        <v>95</v>
      </c>
      <c r="B13" s="635"/>
      <c r="C13" s="635"/>
      <c r="D13" s="635"/>
      <c r="E13" s="656"/>
      <c r="F13" s="636">
        <f>IF(CDP!F41&lt;1.5,K43,"")</f>
        <v>0</v>
      </c>
      <c r="G13" s="637"/>
      <c r="H13" s="638"/>
      <c r="I13" s="26" t="s">
        <v>55</v>
      </c>
      <c r="J13" s="18"/>
      <c r="K13" s="27" t="e">
        <f>IF(K11=0,0,K11*100/K15)</f>
        <v>#VALUE!</v>
      </c>
      <c r="M13" s="179"/>
      <c r="N13" s="179"/>
      <c r="O13" s="30"/>
      <c r="P13" s="682" t="s">
        <v>43</v>
      </c>
      <c r="Q13" s="683"/>
      <c r="R13" s="699"/>
      <c r="S13" s="700" t="e">
        <f>SUM(S10,S11)</f>
        <v>#VALUE!</v>
      </c>
      <c r="T13" s="686"/>
      <c r="U13" s="243"/>
      <c r="V13" s="255" t="s">
        <v>53</v>
      </c>
      <c r="W13" s="256"/>
      <c r="X13" s="118" t="e">
        <f>N42*80/S40</f>
        <v>#VALUE!</v>
      </c>
    </row>
    <row r="14" spans="1:25" ht="25.9" customHeight="1" thickBot="1" x14ac:dyDescent="0.4">
      <c r="A14" s="649" t="s">
        <v>67</v>
      </c>
      <c r="B14" s="650"/>
      <c r="C14" s="650"/>
      <c r="D14" s="650"/>
      <c r="E14" s="651"/>
      <c r="F14" s="652" t="e">
        <f>IF(CDP!F41&lt;1.5,K4,"")</f>
        <v>#VALUE!</v>
      </c>
      <c r="G14" s="653"/>
      <c r="H14" s="654"/>
      <c r="I14" s="26" t="s">
        <v>59</v>
      </c>
      <c r="J14" s="18"/>
      <c r="K14" s="21" t="e">
        <f>IF(K11=0,0,IF(K13&gt;20,0.25*K15-0.25*K11,K11))</f>
        <v>#VALUE!</v>
      </c>
      <c r="M14" s="110" t="s">
        <v>46</v>
      </c>
      <c r="N14" s="43" t="str">
        <f>IF(CDP!$D$27="LL",CDP!$C$28,"")</f>
        <v/>
      </c>
      <c r="O14" s="33"/>
      <c r="P14" s="657" t="s">
        <v>47</v>
      </c>
      <c r="Q14" s="658"/>
      <c r="R14" s="658"/>
      <c r="S14" s="186" t="e">
        <f>IF(R4=0,0,S13*100/R4)</f>
        <v>#VALUE!</v>
      </c>
      <c r="T14" s="187" t="s">
        <v>41</v>
      </c>
      <c r="U14" s="243"/>
      <c r="V14" s="179" t="s">
        <v>56</v>
      </c>
      <c r="X14" s="118" t="e">
        <f>X8/2</f>
        <v>#VALUE!</v>
      </c>
    </row>
    <row r="15" spans="1:25" ht="24.65" customHeight="1" thickBot="1" x14ac:dyDescent="0.4">
      <c r="A15" s="179"/>
      <c r="B15" s="179"/>
      <c r="C15" s="179"/>
      <c r="D15" s="179"/>
      <c r="E15" s="179"/>
      <c r="F15" s="179"/>
      <c r="G15" s="179"/>
      <c r="H15" s="179"/>
      <c r="I15" s="137" t="s">
        <v>64</v>
      </c>
      <c r="J15" s="33"/>
      <c r="K15" s="116" t="e">
        <f>G26+G30+K11</f>
        <v>#VALUE!</v>
      </c>
      <c r="M15" s="110" t="s">
        <v>36</v>
      </c>
      <c r="N15" s="43" t="str">
        <f>IF(CDP!D26="LL",CDP!C26,"")</f>
        <v/>
      </c>
      <c r="O15" s="34"/>
      <c r="P15" s="660" t="s">
        <v>51</v>
      </c>
      <c r="Q15" s="661"/>
      <c r="R15" s="661"/>
      <c r="S15" s="701" t="e">
        <f>IF(N12&lt;S13,0,N12-S13)</f>
        <v>#VALUE!</v>
      </c>
      <c r="T15" s="702"/>
      <c r="U15" s="243"/>
      <c r="V15" s="179" t="s">
        <v>60</v>
      </c>
      <c r="X15" s="118" t="str">
        <f>N42</f>
        <v/>
      </c>
    </row>
    <row r="16" spans="1:25" ht="22.15" customHeight="1" thickBot="1" x14ac:dyDescent="0.4">
      <c r="A16" s="530" t="s">
        <v>151</v>
      </c>
      <c r="B16" s="531"/>
      <c r="C16" s="531"/>
      <c r="D16" s="531"/>
      <c r="E16" s="531"/>
      <c r="F16" s="531"/>
      <c r="G16" s="531"/>
      <c r="H16" s="532"/>
      <c r="I16" s="26" t="s">
        <v>68</v>
      </c>
      <c r="J16" s="37"/>
      <c r="K16" s="15" t="e">
        <f>G26+G30+K14</f>
        <v>#VALUE!</v>
      </c>
      <c r="M16" s="111" t="s">
        <v>33</v>
      </c>
      <c r="N16" s="43" t="str">
        <f>IF(CDP!$D$25="LL",CDP!$C$25,"")</f>
        <v/>
      </c>
      <c r="O16" s="34"/>
      <c r="P16" s="193"/>
      <c r="Q16" s="193"/>
      <c r="R16" s="193"/>
      <c r="S16" s="194"/>
      <c r="T16" s="194"/>
      <c r="U16" s="108"/>
      <c r="V16" s="179" t="s">
        <v>65</v>
      </c>
      <c r="X16" s="118" t="e">
        <f>IF(X13&gt;10,(0.1/0.9)*(S40+N41),N42)</f>
        <v>#VALUE!</v>
      </c>
    </row>
    <row r="17" spans="1:25" ht="21.65" customHeight="1" thickBot="1" x14ac:dyDescent="0.4">
      <c r="A17" s="533"/>
      <c r="B17" s="534"/>
      <c r="C17" s="534"/>
      <c r="D17" s="534"/>
      <c r="E17" s="534"/>
      <c r="F17" s="534"/>
      <c r="G17" s="534"/>
      <c r="H17" s="535"/>
      <c r="I17" s="19"/>
      <c r="J17" s="37"/>
      <c r="K17" s="24"/>
      <c r="M17" s="195" t="s">
        <v>28</v>
      </c>
      <c r="N17" s="124" t="str">
        <f>IF(CDP!D24="LL",CDP!C24,"")</f>
        <v/>
      </c>
      <c r="O17" s="34"/>
      <c r="P17" s="618" t="s">
        <v>57</v>
      </c>
      <c r="Q17" s="619"/>
      <c r="R17" s="619"/>
      <c r="S17" s="620" t="e">
        <f>X22</f>
        <v>#VALUE!</v>
      </c>
      <c r="T17" s="621"/>
      <c r="U17" s="257"/>
    </row>
    <row r="18" spans="1:25" ht="25.15" customHeight="1" thickBot="1" x14ac:dyDescent="0.4">
      <c r="A18" s="484" t="s">
        <v>149</v>
      </c>
      <c r="B18" s="485"/>
      <c r="C18" s="485"/>
      <c r="D18" s="485"/>
      <c r="E18" s="485"/>
      <c r="F18" s="485"/>
      <c r="G18" s="485"/>
      <c r="H18" s="486"/>
      <c r="I18" s="38" t="s">
        <v>74</v>
      </c>
      <c r="J18" s="37"/>
      <c r="K18" s="15" t="e">
        <f>(B34+B35+B36)-(1/0.9)*(B34+B35+B36)+(0.1/0.9)*(G26+G30+B34+B35+B36+B33)</f>
        <v>#VALUE!</v>
      </c>
      <c r="M18" s="196" t="s">
        <v>54</v>
      </c>
      <c r="N18" s="197">
        <f>SUM(N14:N17)</f>
        <v>0</v>
      </c>
      <c r="O18" s="34"/>
      <c r="P18" s="622" t="s">
        <v>62</v>
      </c>
      <c r="Q18" s="623"/>
      <c r="R18" s="624"/>
      <c r="S18" s="186" t="e">
        <f>IF(R4=0,0,S17*100/R4)</f>
        <v>#VALUE!</v>
      </c>
      <c r="T18" s="187" t="s">
        <v>41</v>
      </c>
      <c r="U18" s="243"/>
      <c r="V18" s="258"/>
      <c r="W18" s="66"/>
    </row>
    <row r="19" spans="1:25" ht="41.5" customHeight="1" thickBot="1" x14ac:dyDescent="0.4">
      <c r="A19" s="114" t="s">
        <v>4</v>
      </c>
      <c r="B19" s="180" t="s">
        <v>5</v>
      </c>
      <c r="C19" s="252" t="s">
        <v>6</v>
      </c>
      <c r="D19" s="252" t="s">
        <v>7</v>
      </c>
      <c r="E19" s="252" t="s">
        <v>8</v>
      </c>
      <c r="F19" s="252" t="s">
        <v>9</v>
      </c>
      <c r="G19" s="655" t="s">
        <v>10</v>
      </c>
      <c r="H19" s="655"/>
      <c r="I19" s="26" t="s">
        <v>78</v>
      </c>
      <c r="J19" s="37"/>
      <c r="K19" s="24" t="e">
        <f>IF(K18=0,0,IF(B34+B35+B36&gt;K18,K18,B34+B35+B36))</f>
        <v>#VALUE!</v>
      </c>
      <c r="M19" s="198"/>
      <c r="N19" s="179"/>
      <c r="O19" s="185"/>
      <c r="P19" s="665" t="s">
        <v>67</v>
      </c>
      <c r="Q19" s="666"/>
      <c r="R19" s="666"/>
      <c r="S19" s="703" t="e">
        <f>IF(N18&lt;S17,0,N18-S17)</f>
        <v>#VALUE!</v>
      </c>
      <c r="T19" s="704"/>
      <c r="U19" s="244"/>
      <c r="V19" s="259" t="s">
        <v>21</v>
      </c>
      <c r="W19" s="254"/>
      <c r="X19" s="118" t="e">
        <f>S13*20/80</f>
        <v>#VALUE!</v>
      </c>
    </row>
    <row r="20" spans="1:25" ht="23.5" customHeight="1" thickBot="1" x14ac:dyDescent="0.4">
      <c r="A20" s="181" t="s">
        <v>23</v>
      </c>
      <c r="B20" s="104" t="str">
        <f>IF(CDP!D23="LL",CDP!C6-CDP!C23,"ERREUR")</f>
        <v>ERREUR</v>
      </c>
      <c r="C20" s="86" t="e">
        <f>B20/($B$38+0.00001)</f>
        <v>#VALUE!</v>
      </c>
      <c r="D20" s="87" t="e">
        <f>IF(C20&lt;90%,B20,9*(B21+B22+B23+B24))</f>
        <v>#VALUE!</v>
      </c>
      <c r="E20" s="86" t="e">
        <f t="shared" ref="E20:E24" si="0">G20/(F$4+0.00001)</f>
        <v>#VALUE!</v>
      </c>
      <c r="F20" s="80" t="e">
        <f>IF(OR($D$20=$B$25,$D$21=$B$25,$D$22=$B$25,$D$23=$B$25,$D$24=$B$25,C20=100%),0,D20)</f>
        <v>#VALUE!</v>
      </c>
      <c r="G20" s="499" t="e">
        <f>F20</f>
        <v>#VALUE!</v>
      </c>
      <c r="H20" s="499"/>
      <c r="I20" s="26" t="s">
        <v>81</v>
      </c>
      <c r="J20" s="37"/>
      <c r="K20" s="24" t="e">
        <f>IF(K19&gt;K14,K14,K19)</f>
        <v>#VALUE!</v>
      </c>
      <c r="M20" s="112" t="s">
        <v>66</v>
      </c>
      <c r="N20" s="43" t="str">
        <f>IF(CDP!D30="LL",CDP!C30,"")</f>
        <v/>
      </c>
      <c r="O20" s="185"/>
      <c r="P20" s="31"/>
      <c r="Q20" s="31"/>
      <c r="R20" s="31"/>
      <c r="S20" s="31"/>
      <c r="T20" s="31"/>
      <c r="U20" s="244"/>
      <c r="V20" s="259" t="s">
        <v>24</v>
      </c>
      <c r="W20" s="66"/>
      <c r="X20" s="118">
        <f>N18</f>
        <v>0</v>
      </c>
    </row>
    <row r="21" spans="1:25" ht="24" customHeight="1" x14ac:dyDescent="0.35">
      <c r="A21" s="182" t="s">
        <v>28</v>
      </c>
      <c r="B21" s="104" t="str">
        <f>IF(CDP!D24="LL",CDP!C7-CDP!C24,"ERREUR")</f>
        <v>ERREUR</v>
      </c>
      <c r="C21" s="86" t="e">
        <f t="shared" ref="C21:C24" si="1">B21/($B$38+0.00001)</f>
        <v>#VALUE!</v>
      </c>
      <c r="D21" s="87" t="e">
        <f>IF(C21&lt;90%,B21,9*(B22+B23+B24+B20))</f>
        <v>#VALUE!</v>
      </c>
      <c r="E21" s="86" t="e">
        <f t="shared" si="0"/>
        <v>#VALUE!</v>
      </c>
      <c r="F21" s="80" t="e">
        <f t="shared" ref="F21:F24" si="2">IF(OR($D$20=$B$25,$D$21=$B$25,$D$22=$B$25,$D$23=$B$25,$D$24=$B$25,C21=100%),0,D21)</f>
        <v>#VALUE!</v>
      </c>
      <c r="G21" s="499" t="e">
        <f>F21</f>
        <v>#VALUE!</v>
      </c>
      <c r="H21" s="499"/>
      <c r="I21" s="26" t="s">
        <v>84</v>
      </c>
      <c r="J21" s="37"/>
      <c r="K21" s="41" t="e">
        <f>K14-K20</f>
        <v>#VALUE!</v>
      </c>
      <c r="M21" s="113" t="s">
        <v>70</v>
      </c>
      <c r="N21" s="43" t="str">
        <f>IF(CDP!D31="LL",CDP!C31,"")</f>
        <v/>
      </c>
      <c r="O21" s="185"/>
      <c r="P21" s="671" t="s">
        <v>76</v>
      </c>
      <c r="Q21" s="672"/>
      <c r="R21" s="672"/>
      <c r="S21" s="705" t="e">
        <f>IF(OR(X37&gt;X36,X37=X367),X38,X45)</f>
        <v>#VALUE!</v>
      </c>
      <c r="T21" s="706"/>
      <c r="U21" s="244"/>
      <c r="V21" s="259" t="s">
        <v>29</v>
      </c>
      <c r="W21" s="66"/>
      <c r="X21" s="118" t="e">
        <f>IF((S13*100/R4)&gt;80,100-(S13*100/R4),20)</f>
        <v>#VALUE!</v>
      </c>
    </row>
    <row r="22" spans="1:25" ht="21.5" x14ac:dyDescent="0.35">
      <c r="A22" s="182" t="s">
        <v>33</v>
      </c>
      <c r="B22" s="104" t="str">
        <f>IF(CDP!D25="LL",CDP!C8-CDP!C25,"ERREUR")</f>
        <v>ERREUR</v>
      </c>
      <c r="C22" s="86" t="e">
        <f t="shared" si="1"/>
        <v>#VALUE!</v>
      </c>
      <c r="D22" s="87" t="e">
        <f>IF(C22&lt;90%,B22,9*(B23+B24+B21+B20))</f>
        <v>#VALUE!</v>
      </c>
      <c r="E22" s="86" t="e">
        <f t="shared" si="0"/>
        <v>#VALUE!</v>
      </c>
      <c r="F22" s="80" t="e">
        <f t="shared" si="2"/>
        <v>#VALUE!</v>
      </c>
      <c r="G22" s="499" t="e">
        <f>F22</f>
        <v>#VALUE!</v>
      </c>
      <c r="H22" s="499"/>
      <c r="I22" s="26" t="s">
        <v>87</v>
      </c>
      <c r="J22" s="37"/>
      <c r="K22" s="24" t="e">
        <f>IF(B33=0,0,IF(B33&gt;K21,K21,B33))</f>
        <v>#VALUE!</v>
      </c>
      <c r="M22" s="113" t="s">
        <v>72</v>
      </c>
      <c r="N22" s="43" t="str">
        <f>IF(CDP!D32="LL",CDP!C32,"")</f>
        <v/>
      </c>
      <c r="O22" s="40"/>
      <c r="P22" s="622" t="s">
        <v>62</v>
      </c>
      <c r="Q22" s="623"/>
      <c r="R22" s="624"/>
      <c r="S22" s="186" t="e">
        <f>IF(R4=0,0,S21*100/R4)</f>
        <v>#VALUE!</v>
      </c>
      <c r="T22" s="187" t="s">
        <v>41</v>
      </c>
      <c r="U22" s="108"/>
      <c r="V22" s="259" t="s">
        <v>35</v>
      </c>
      <c r="W22" s="66"/>
      <c r="X22" s="118" t="e">
        <f>IF(X20&gt;X19,X19,X20)</f>
        <v>#VALUE!</v>
      </c>
    </row>
    <row r="23" spans="1:25" ht="21.5" x14ac:dyDescent="0.35">
      <c r="A23" s="182" t="s">
        <v>36</v>
      </c>
      <c r="B23" s="104" t="str">
        <f>IF(CDP!D26="LL",CDP!C9-CDP!C26,"ERREUR")</f>
        <v>ERREUR</v>
      </c>
      <c r="C23" s="86" t="e">
        <f t="shared" si="1"/>
        <v>#VALUE!</v>
      </c>
      <c r="D23" s="87" t="e">
        <f>IF(C23&lt;90%,B23,9*(B20+B24+B22+B21))</f>
        <v>#VALUE!</v>
      </c>
      <c r="E23" s="86" t="e">
        <f t="shared" si="0"/>
        <v>#VALUE!</v>
      </c>
      <c r="F23" s="80" t="e">
        <f t="shared" si="2"/>
        <v>#VALUE!</v>
      </c>
      <c r="G23" s="499" t="e">
        <f>F23</f>
        <v>#VALUE!</v>
      </c>
      <c r="H23" s="499"/>
      <c r="I23" s="26" t="s">
        <v>90</v>
      </c>
      <c r="K23" s="24" t="e">
        <f>K22+K20</f>
        <v>#VALUE!</v>
      </c>
      <c r="M23" s="113" t="s">
        <v>75</v>
      </c>
      <c r="N23" s="43" t="str">
        <f>IF(CDP!D33="LL",CDP!C33,"")</f>
        <v/>
      </c>
      <c r="O23" s="34"/>
      <c r="P23" s="622" t="s">
        <v>83</v>
      </c>
      <c r="Q23" s="623"/>
      <c r="R23" s="624"/>
      <c r="S23" s="707" t="e">
        <f>IF(OR(X18&gt;X17,X18=X17),X16,X23)</f>
        <v>#VALUE!</v>
      </c>
      <c r="T23" s="708"/>
      <c r="U23" s="243"/>
      <c r="V23" s="260"/>
    </row>
    <row r="24" spans="1:25" ht="26.5" customHeight="1" thickBot="1" x14ac:dyDescent="0.4">
      <c r="A24" s="182" t="s">
        <v>34</v>
      </c>
      <c r="B24" s="104" t="str">
        <f>IF(CDP!D27="LL",CDP!C10-CDP!C27,"ERREUR")</f>
        <v>ERREUR</v>
      </c>
      <c r="C24" s="86" t="e">
        <f t="shared" si="1"/>
        <v>#VALUE!</v>
      </c>
      <c r="D24" s="87" t="e">
        <f>IF(C24&lt;90%,B24,9*(B23+B20+B21+B22))</f>
        <v>#VALUE!</v>
      </c>
      <c r="E24" s="86" t="e">
        <f t="shared" si="0"/>
        <v>#VALUE!</v>
      </c>
      <c r="F24" s="80" t="e">
        <f t="shared" si="2"/>
        <v>#VALUE!</v>
      </c>
      <c r="G24" s="499" t="e">
        <f>F24</f>
        <v>#VALUE!</v>
      </c>
      <c r="H24" s="499"/>
      <c r="I24" s="38" t="s">
        <v>68</v>
      </c>
      <c r="K24" s="15" t="e">
        <f>G26+G30+K23</f>
        <v>#VALUE!</v>
      </c>
      <c r="M24" s="199" t="s">
        <v>80</v>
      </c>
      <c r="N24" s="43">
        <f>SUM(N20:N23)</f>
        <v>0</v>
      </c>
      <c r="O24" s="34"/>
      <c r="P24" s="622" t="s">
        <v>71</v>
      </c>
      <c r="Q24" s="623"/>
      <c r="R24" s="624"/>
      <c r="S24" s="186" t="e">
        <f>IF(R4=0,0,S23*100/R4)</f>
        <v>#VALUE!</v>
      </c>
      <c r="T24" s="187" t="s">
        <v>41</v>
      </c>
      <c r="U24" s="244"/>
      <c r="V24" s="259" t="s">
        <v>44</v>
      </c>
      <c r="W24" s="66"/>
      <c r="X24" s="118" t="e">
        <f>IF(X22=X19,0,IF(X22&lt;X19,X19-X22,""))</f>
        <v>#VALUE!</v>
      </c>
    </row>
    <row r="25" spans="1:25" ht="29.5" customHeight="1" thickBot="1" x14ac:dyDescent="0.4">
      <c r="A25" s="183" t="s">
        <v>37</v>
      </c>
      <c r="B25" s="184">
        <f>SUM(B20:B24)</f>
        <v>0</v>
      </c>
      <c r="C25" s="303"/>
      <c r="D25" s="303"/>
      <c r="E25" s="86"/>
      <c r="F25" s="302"/>
      <c r="G25" s="304"/>
      <c r="H25" s="304"/>
      <c r="I25" s="26"/>
      <c r="K25" s="15"/>
      <c r="M25" s="200" t="s">
        <v>61</v>
      </c>
      <c r="N25" s="201">
        <f>N24+N18+N12</f>
        <v>0</v>
      </c>
      <c r="O25" s="34"/>
      <c r="P25" s="718" t="s">
        <v>88</v>
      </c>
      <c r="Q25" s="719"/>
      <c r="R25" s="720"/>
      <c r="S25" s="709" t="e">
        <f>IF(N24&lt;S21,0,N24-S21)</f>
        <v>#VALUE!</v>
      </c>
      <c r="T25" s="710"/>
      <c r="U25" s="241"/>
      <c r="V25" s="259" t="s">
        <v>48</v>
      </c>
      <c r="W25" s="66"/>
      <c r="X25" s="118" t="e">
        <f>IF(X24&lt;N20+N21+N22+N23,X24,N20+N21+N22+N52)</f>
        <v>#VALUE!</v>
      </c>
    </row>
    <row r="26" spans="1:25" ht="28.15" customHeight="1" x14ac:dyDescent="0.35">
      <c r="A26" s="609"/>
      <c r="B26" s="609"/>
      <c r="C26" s="33"/>
      <c r="D26" s="697" t="s">
        <v>43</v>
      </c>
      <c r="E26" s="698"/>
      <c r="F26" s="698"/>
      <c r="G26" s="673" t="e">
        <f>SUM(G20:G24)</f>
        <v>#VALUE!</v>
      </c>
      <c r="H26" s="674"/>
      <c r="I26" s="26" t="s">
        <v>96</v>
      </c>
      <c r="K26" s="24" t="e">
        <f>0.1*K24</f>
        <v>#VALUE!</v>
      </c>
      <c r="M26" s="45"/>
      <c r="N26" s="45"/>
      <c r="O26" s="45"/>
      <c r="P26" s="45"/>
      <c r="Q26" s="45"/>
      <c r="R26" s="45"/>
      <c r="S26" s="45"/>
      <c r="T26" s="45"/>
      <c r="U26" s="241"/>
      <c r="V26" s="261" t="s">
        <v>55</v>
      </c>
      <c r="W26" s="66"/>
      <c r="X26" s="262" t="e">
        <f>IF(X25=0,0,X25*100/X30)</f>
        <v>#VALUE!</v>
      </c>
    </row>
    <row r="27" spans="1:25" ht="21.65" customHeight="1" thickBot="1" x14ac:dyDescent="0.4">
      <c r="A27" s="110" t="s">
        <v>46</v>
      </c>
      <c r="B27" s="42" t="str">
        <f>IF(CDP!D28="LL",CDP!C12-CDP!C28,"ERREUR")</f>
        <v>ERREUR</v>
      </c>
      <c r="C27" s="34"/>
      <c r="D27" s="657" t="s">
        <v>50</v>
      </c>
      <c r="E27" s="658"/>
      <c r="F27" s="658"/>
      <c r="G27" s="186" t="e">
        <f>IF(F4=0,0,G26*100/F4)</f>
        <v>#VALUE!</v>
      </c>
      <c r="H27" s="187" t="s">
        <v>41</v>
      </c>
      <c r="I27" s="26" t="s">
        <v>78</v>
      </c>
      <c r="K27" s="21" t="e">
        <f>IF(K26=0,0,IF(B34+B35+B36&gt;K26,K26,B34+B35+B36))</f>
        <v>#VALUE!</v>
      </c>
      <c r="M27" s="119"/>
      <c r="N27" s="29"/>
      <c r="O27" s="29"/>
      <c r="P27" s="586"/>
      <c r="Q27" s="586"/>
      <c r="R27" s="586"/>
      <c r="S27" s="107"/>
      <c r="T27" s="108"/>
      <c r="U27" s="241"/>
      <c r="V27" s="261" t="s">
        <v>59</v>
      </c>
      <c r="W27" s="66"/>
      <c r="X27" s="118" t="e">
        <f>IF(X25=0,0,IF(X26&gt;20,0.25*X30-0.25*X25,X25))</f>
        <v>#VALUE!</v>
      </c>
    </row>
    <row r="28" spans="1:25" ht="27.65" customHeight="1" thickBot="1" x14ac:dyDescent="0.4">
      <c r="A28" s="110" t="s">
        <v>49</v>
      </c>
      <c r="B28" s="39" t="str">
        <f>IF(CDP!D29="LL",CDP!C13-CDP!C29,"ERREUR")</f>
        <v>ERREUR</v>
      </c>
      <c r="C28" s="34"/>
      <c r="D28" s="660" t="s">
        <v>51</v>
      </c>
      <c r="E28" s="661"/>
      <c r="F28" s="661"/>
      <c r="G28" s="663" t="e">
        <f>IF(B25&lt;G26,0,B25-G26)</f>
        <v>#VALUE!</v>
      </c>
      <c r="H28" s="664"/>
      <c r="I28" s="26"/>
      <c r="K28" s="15"/>
      <c r="L28" s="92"/>
      <c r="M28" s="691" t="s">
        <v>156</v>
      </c>
      <c r="N28" s="692"/>
      <c r="O28" s="692"/>
      <c r="P28" s="692"/>
      <c r="Q28" s="692"/>
      <c r="R28" s="692"/>
      <c r="S28" s="692"/>
      <c r="T28" s="693"/>
      <c r="U28" s="241"/>
      <c r="V28" s="261"/>
      <c r="W28" s="66"/>
    </row>
    <row r="29" spans="1:25" ht="21" customHeight="1" thickBot="1" x14ac:dyDescent="0.4">
      <c r="A29" s="111" t="s">
        <v>58</v>
      </c>
      <c r="B29" s="39">
        <f>CDP!C14</f>
        <v>0</v>
      </c>
      <c r="C29" s="34"/>
      <c r="D29" s="667"/>
      <c r="E29" s="667"/>
      <c r="F29" s="667"/>
      <c r="G29" s="668"/>
      <c r="H29" s="668"/>
      <c r="I29" s="26" t="s">
        <v>84</v>
      </c>
      <c r="K29" s="15" t="e">
        <f>K14-K27</f>
        <v>#VALUE!</v>
      </c>
      <c r="M29" s="694"/>
      <c r="N29" s="695"/>
      <c r="O29" s="695"/>
      <c r="P29" s="695"/>
      <c r="Q29" s="695"/>
      <c r="R29" s="695"/>
      <c r="S29" s="695"/>
      <c r="T29" s="696"/>
      <c r="U29" s="240"/>
      <c r="V29" s="261"/>
      <c r="W29" s="66"/>
      <c r="Y29" s="92"/>
    </row>
    <row r="30" spans="1:25" ht="25.15" customHeight="1" thickBot="1" x14ac:dyDescent="0.4">
      <c r="A30" s="110" t="s">
        <v>63</v>
      </c>
      <c r="B30" s="39">
        <f>CDP!C15</f>
        <v>0</v>
      </c>
      <c r="C30" s="34"/>
      <c r="D30" s="618" t="s">
        <v>57</v>
      </c>
      <c r="E30" s="619"/>
      <c r="F30" s="619"/>
      <c r="G30" s="673" t="e">
        <f>K8</f>
        <v>#VALUE!</v>
      </c>
      <c r="H30" s="674"/>
      <c r="I30" s="26" t="s">
        <v>87</v>
      </c>
      <c r="K30" s="15" t="e">
        <f>IF(B33=0,0,IF(B33&gt;K29,K29,B33))</f>
        <v>#VALUE!</v>
      </c>
      <c r="M30" s="634" t="s">
        <v>82</v>
      </c>
      <c r="N30" s="635"/>
      <c r="O30" s="635"/>
      <c r="P30" s="635"/>
      <c r="Q30" s="635"/>
      <c r="R30" s="636" t="e">
        <f>S$40+S$44</f>
        <v>#VALUE!</v>
      </c>
      <c r="S30" s="637"/>
      <c r="T30" s="638"/>
      <c r="U30" s="242"/>
      <c r="V30" s="261" t="s">
        <v>64</v>
      </c>
      <c r="W30" s="66"/>
      <c r="X30" s="118" t="e">
        <f>S13+S17+X25</f>
        <v>#VALUE!</v>
      </c>
    </row>
    <row r="31" spans="1:25" ht="35.5" customHeight="1" thickBot="1" x14ac:dyDescent="0.4">
      <c r="A31" s="75" t="s">
        <v>54</v>
      </c>
      <c r="B31" s="4">
        <f>SUM(B27:B30)</f>
        <v>0</v>
      </c>
      <c r="C31" s="185"/>
      <c r="D31" s="657" t="s">
        <v>50</v>
      </c>
      <c r="E31" s="658"/>
      <c r="F31" s="658"/>
      <c r="G31" s="186" t="e">
        <f>IF(F4=0,0,G30*100/F4)</f>
        <v>#VALUE!</v>
      </c>
      <c r="H31" s="187" t="s">
        <v>41</v>
      </c>
      <c r="I31" s="26" t="s">
        <v>90</v>
      </c>
      <c r="K31" s="21" t="e">
        <f>K30+K27</f>
        <v>#VALUE!</v>
      </c>
      <c r="M31" s="649" t="s">
        <v>86</v>
      </c>
      <c r="N31" s="650"/>
      <c r="O31" s="650"/>
      <c r="P31" s="650"/>
      <c r="Q31" s="651"/>
      <c r="R31" s="652" t="e">
        <f>S42+S48</f>
        <v>#VALUE!</v>
      </c>
      <c r="S31" s="653"/>
      <c r="T31" s="654"/>
      <c r="U31" s="242"/>
      <c r="V31" s="261" t="s">
        <v>68</v>
      </c>
      <c r="W31" s="256"/>
      <c r="X31" s="118" t="e">
        <f>S13+S17+X27</f>
        <v>#VALUE!</v>
      </c>
    </row>
    <row r="32" spans="1:25" ht="26.5" customHeight="1" thickBot="1" x14ac:dyDescent="0.4">
      <c r="C32" s="40"/>
      <c r="D32" s="665" t="s">
        <v>67</v>
      </c>
      <c r="E32" s="666"/>
      <c r="F32" s="666"/>
      <c r="G32" s="663" t="e">
        <f>IF(B31&lt;G30,0,B31-G30)</f>
        <v>#VALUE!</v>
      </c>
      <c r="H32" s="664"/>
      <c r="I32" s="38"/>
      <c r="K32" s="15"/>
      <c r="M32" s="530" t="s">
        <v>151</v>
      </c>
      <c r="N32" s="531"/>
      <c r="O32" s="531"/>
      <c r="P32" s="531"/>
      <c r="Q32" s="531"/>
      <c r="R32" s="531"/>
      <c r="S32" s="531"/>
      <c r="T32" s="532"/>
      <c r="U32" s="242"/>
      <c r="V32" s="259"/>
      <c r="W32" s="256"/>
    </row>
    <row r="33" spans="1:24" ht="25.9" customHeight="1" thickBot="1" x14ac:dyDescent="0.4">
      <c r="A33" s="188" t="s">
        <v>66</v>
      </c>
      <c r="B33" s="42" t="str">
        <f>IF(CDP!D30="LL",CDP!C17-CDP!C30,"ERREUR")</f>
        <v>ERREUR</v>
      </c>
      <c r="C33" s="34"/>
      <c r="D33" s="667"/>
      <c r="E33" s="667"/>
      <c r="F33" s="667"/>
      <c r="G33" s="668"/>
      <c r="H33" s="668"/>
      <c r="K33" s="15"/>
      <c r="M33" s="533"/>
      <c r="N33" s="534"/>
      <c r="O33" s="534"/>
      <c r="P33" s="534"/>
      <c r="Q33" s="534"/>
      <c r="R33" s="534"/>
      <c r="S33" s="534"/>
      <c r="T33" s="535"/>
      <c r="U33" s="32"/>
      <c r="V33" s="261" t="s">
        <v>74</v>
      </c>
      <c r="W33" s="256"/>
      <c r="X33" s="118" t="e">
        <f>(N21+N22+N23)-(1/0.9)*(N21+N22+N23)+(0.1/0.9)*(S13+S17+N20+N21+N22+N23)</f>
        <v>#VALUE!</v>
      </c>
    </row>
    <row r="34" spans="1:24" ht="30.65" customHeight="1" thickBot="1" x14ac:dyDescent="0.4">
      <c r="A34" s="113" t="s">
        <v>70</v>
      </c>
      <c r="B34" s="39" t="str">
        <f>IF(CDP!D31="LL",CDP!C18-CDP!C31,"ERREUR")</f>
        <v>ERREUR</v>
      </c>
      <c r="C34" s="34"/>
      <c r="D34" s="671" t="s">
        <v>76</v>
      </c>
      <c r="E34" s="672"/>
      <c r="F34" s="672"/>
      <c r="G34" s="673" t="e">
        <f>IF(OR(K22&gt;K21,K22=K21),K23,K31)</f>
        <v>#VALUE!</v>
      </c>
      <c r="H34" s="674"/>
      <c r="I34" s="23" t="s">
        <v>100</v>
      </c>
      <c r="K34" s="15"/>
      <c r="M34" s="202" t="s">
        <v>4</v>
      </c>
      <c r="N34" s="203" t="s">
        <v>12</v>
      </c>
      <c r="O34" s="204" t="s">
        <v>6</v>
      </c>
      <c r="P34" s="204" t="s">
        <v>13</v>
      </c>
      <c r="Q34" s="204" t="s">
        <v>8</v>
      </c>
      <c r="R34" s="204" t="s">
        <v>9</v>
      </c>
      <c r="S34" s="669" t="s">
        <v>10</v>
      </c>
      <c r="T34" s="669"/>
      <c r="U34" s="245"/>
      <c r="V34" s="261" t="s">
        <v>78</v>
      </c>
      <c r="W34" s="256"/>
      <c r="X34" s="118" t="e">
        <f>IF(X33=0,0,IF(N53+N54+N55&gt;X33,X33,N53+N54+N55))</f>
        <v>#VALUE!</v>
      </c>
    </row>
    <row r="35" spans="1:24" ht="23.5" customHeight="1" x14ac:dyDescent="0.35">
      <c r="A35" s="113" t="s">
        <v>72</v>
      </c>
      <c r="B35" s="39" t="str">
        <f>IF(CDP!D32="LL",CDP!C19-CDP!C32,"ERREUR")</f>
        <v>ERREUR</v>
      </c>
      <c r="C35" s="34"/>
      <c r="D35" s="657" t="s">
        <v>50</v>
      </c>
      <c r="E35" s="658"/>
      <c r="F35" s="658"/>
      <c r="G35" s="186" t="e">
        <f>IF(F4=0,0,G34*100/F4)</f>
        <v>#VALUE!</v>
      </c>
      <c r="H35" s="187" t="s">
        <v>41</v>
      </c>
      <c r="I35" s="26" t="s">
        <v>101</v>
      </c>
      <c r="K35" s="15">
        <f>B25</f>
        <v>0</v>
      </c>
      <c r="M35" s="205" t="s">
        <v>23</v>
      </c>
      <c r="N35" s="121" t="str">
        <f>IF(CDP!$D$23="LL",CDP!$C$23,"")</f>
        <v/>
      </c>
      <c r="O35" s="120" t="e">
        <f>N35/(N45+0.00001)</f>
        <v>#VALUE!</v>
      </c>
      <c r="P35" s="206" t="e">
        <f>IF(O35&lt;60%,N35,1.5*(N36+N37))</f>
        <v>#VALUE!</v>
      </c>
      <c r="Q35" s="120" t="e">
        <f>S35/($R$30+0.00001)</f>
        <v>#VALUE!</v>
      </c>
      <c r="R35" s="206" t="e">
        <f>IF(OR(P$36=N$38,P$37=N$38,P$35=N$38,O35=100%),0,P35)</f>
        <v>#VALUE!</v>
      </c>
      <c r="S35" s="670" t="e">
        <f>R35</f>
        <v>#VALUE!</v>
      </c>
      <c r="T35" s="670"/>
      <c r="U35" s="227"/>
      <c r="V35" s="261" t="s">
        <v>81</v>
      </c>
      <c r="W35" s="256"/>
      <c r="X35" s="118" t="e">
        <f>IF(X34&gt;X27,X27,X34)</f>
        <v>#VALUE!</v>
      </c>
    </row>
    <row r="36" spans="1:24" ht="26.5" customHeight="1" x14ac:dyDescent="0.35">
      <c r="A36" s="113" t="s">
        <v>75</v>
      </c>
      <c r="B36" s="39" t="str">
        <f>IF(CDP!D33="LL",CDP!C20-CDP!C33,"ERREUR")</f>
        <v>ERREUR</v>
      </c>
      <c r="C36" s="34"/>
      <c r="D36" s="677" t="s">
        <v>83</v>
      </c>
      <c r="E36" s="678"/>
      <c r="F36" s="678"/>
      <c r="G36" s="679" t="e">
        <f>IF(OR(K22&gt;K21,K22=K21),K20,K27)</f>
        <v>#VALUE!</v>
      </c>
      <c r="H36" s="680"/>
      <c r="I36" s="26" t="s">
        <v>102</v>
      </c>
      <c r="K36" s="15">
        <f>B37+B31</f>
        <v>0</v>
      </c>
      <c r="M36" s="207" t="s">
        <v>28</v>
      </c>
      <c r="N36" s="122" t="str">
        <f>IF(CDP!$D$23="LL",CDP!$C$24,"")</f>
        <v/>
      </c>
      <c r="O36" s="120" t="e">
        <f>N36/(N45+0.00001)</f>
        <v>#VALUE!</v>
      </c>
      <c r="P36" s="206" t="e">
        <f>IF(O36&lt;60%,N36,1.5*(N37+N35))</f>
        <v>#VALUE!</v>
      </c>
      <c r="Q36" s="120" t="e">
        <f t="shared" ref="Q36:Q37" si="3">S36/($R$30+0.00001)</f>
        <v>#VALUE!</v>
      </c>
      <c r="R36" s="206" t="e">
        <f t="shared" ref="R36:R37" si="4">IF(OR(P$36=N$38,P$37=N$38,P$35=N$38,O36=100%),0,P36)</f>
        <v>#VALUE!</v>
      </c>
      <c r="S36" s="670" t="e">
        <f>R36</f>
        <v>#VALUE!</v>
      </c>
      <c r="T36" s="670"/>
      <c r="U36" s="245"/>
      <c r="V36" s="261" t="s">
        <v>84</v>
      </c>
      <c r="W36" s="256"/>
      <c r="X36" s="262" t="e">
        <f>X27-X35</f>
        <v>#VALUE!</v>
      </c>
    </row>
    <row r="37" spans="1:24" ht="22" thickBot="1" x14ac:dyDescent="0.4">
      <c r="A37" s="77" t="s">
        <v>80</v>
      </c>
      <c r="B37" s="4">
        <f>SUM(B33:B36)</f>
        <v>0</v>
      </c>
      <c r="C37" s="185"/>
      <c r="D37" s="657" t="s">
        <v>50</v>
      </c>
      <c r="E37" s="658"/>
      <c r="F37" s="658"/>
      <c r="G37" s="186" t="e">
        <f>IF(F4=0,0,G36*100/F4)</f>
        <v>#VALUE!</v>
      </c>
      <c r="H37" s="187" t="s">
        <v>41</v>
      </c>
      <c r="I37" s="26" t="s">
        <v>45</v>
      </c>
      <c r="K37" s="15">
        <f>B25</f>
        <v>0</v>
      </c>
      <c r="M37" s="208" t="s">
        <v>33</v>
      </c>
      <c r="N37" s="123" t="str">
        <f>IF(CDP!$D$25="LL",CDP!$C$25,"")</f>
        <v/>
      </c>
      <c r="O37" s="120" t="e">
        <f>N37/(N45+0.00001)</f>
        <v>#VALUE!</v>
      </c>
      <c r="P37" s="206" t="e">
        <f>IF(O37&lt;60%,N37,1.5*(N36+N35))</f>
        <v>#VALUE!</v>
      </c>
      <c r="Q37" s="120" t="e">
        <f t="shared" si="3"/>
        <v>#VALUE!</v>
      </c>
      <c r="R37" s="206" t="e">
        <f t="shared" si="4"/>
        <v>#VALUE!</v>
      </c>
      <c r="S37" s="670" t="e">
        <f>R37</f>
        <v>#VALUE!</v>
      </c>
      <c r="T37" s="670"/>
      <c r="U37" s="246"/>
      <c r="V37" s="261" t="s">
        <v>87</v>
      </c>
      <c r="W37" s="256"/>
      <c r="X37" s="118">
        <f>IF(N52=0,0,IF(N52&gt;X36,X36,N52))</f>
        <v>0</v>
      </c>
    </row>
    <row r="38" spans="1:24" ht="25.15" customHeight="1" thickBot="1" x14ac:dyDescent="0.4">
      <c r="A38" s="68" t="s">
        <v>61</v>
      </c>
      <c r="B38" s="189">
        <f>B37+B31+B25</f>
        <v>0</v>
      </c>
      <c r="C38" s="31"/>
      <c r="D38" s="689" t="s">
        <v>88</v>
      </c>
      <c r="E38" s="690"/>
      <c r="F38" s="690"/>
      <c r="G38" s="663" t="e">
        <f>IF(B37&lt;G34,0,B37-G34)</f>
        <v>#VALUE!</v>
      </c>
      <c r="H38" s="664"/>
      <c r="I38" s="26" t="s">
        <v>104</v>
      </c>
      <c r="K38" s="15">
        <f>IF(K36&gt;K37,K37,K36)</f>
        <v>0</v>
      </c>
      <c r="M38" s="209" t="s">
        <v>37</v>
      </c>
      <c r="N38" s="210">
        <f>SUM(N35:N37)</f>
        <v>0</v>
      </c>
      <c r="O38" s="120"/>
      <c r="P38" s="206"/>
      <c r="Q38" s="687" t="s">
        <v>38</v>
      </c>
      <c r="R38" s="687"/>
      <c r="S38" s="688" t="e">
        <f>X7</f>
        <v>#VALUE!</v>
      </c>
      <c r="T38" s="670"/>
      <c r="U38" s="246"/>
      <c r="V38" s="261" t="s">
        <v>90</v>
      </c>
      <c r="X38" s="118" t="e">
        <f>X37+X35</f>
        <v>#VALUE!</v>
      </c>
    </row>
    <row r="39" spans="1:24" ht="18.5" thickBot="1" x14ac:dyDescent="0.4">
      <c r="A39" s="675"/>
      <c r="B39" s="675"/>
      <c r="C39" s="675"/>
      <c r="D39" s="675"/>
      <c r="E39" s="675"/>
      <c r="F39" s="676"/>
      <c r="G39" s="676"/>
      <c r="H39" s="676"/>
      <c r="I39" s="26" t="s">
        <v>106</v>
      </c>
      <c r="K39" s="15">
        <f>IF(K36&gt;K37,K36-K37,0)</f>
        <v>0</v>
      </c>
      <c r="M39" s="179"/>
      <c r="N39" s="179"/>
      <c r="O39" s="211"/>
      <c r="P39" s="212"/>
      <c r="Q39" s="213"/>
      <c r="R39" s="198"/>
      <c r="S39" s="214"/>
      <c r="T39" s="214"/>
      <c r="U39" s="246"/>
      <c r="V39" s="261" t="s">
        <v>68</v>
      </c>
      <c r="X39" s="118" t="e">
        <f>S13+S17+X38</f>
        <v>#VALUE!</v>
      </c>
    </row>
    <row r="40" spans="1:24" ht="30" customHeight="1" x14ac:dyDescent="0.35">
      <c r="A40" s="31"/>
      <c r="B40" s="31"/>
      <c r="C40" s="116"/>
      <c r="D40" s="31"/>
      <c r="E40" s="31"/>
      <c r="F40" s="31"/>
      <c r="G40" s="31"/>
      <c r="H40" s="31"/>
      <c r="I40" s="26" t="s">
        <v>107</v>
      </c>
      <c r="J40"/>
      <c r="K40" s="1">
        <f>IF(B16&gt;K38,B16-K38,0)</f>
        <v>0</v>
      </c>
      <c r="M40" s="681"/>
      <c r="N40" s="681"/>
      <c r="O40" s="215"/>
      <c r="P40" s="682" t="s">
        <v>43</v>
      </c>
      <c r="Q40" s="683"/>
      <c r="R40" s="684"/>
      <c r="S40" s="685" t="e">
        <f>SUM(S35,S36,S38)</f>
        <v>#VALUE!</v>
      </c>
      <c r="T40" s="686"/>
      <c r="V40" s="261"/>
    </row>
    <row r="41" spans="1:24" ht="26.5" customHeight="1" x14ac:dyDescent="0.35">
      <c r="A41" s="31"/>
      <c r="B41" s="31"/>
      <c r="C41" s="116"/>
      <c r="D41" s="31"/>
      <c r="E41" s="31"/>
      <c r="F41" s="31"/>
      <c r="G41" s="31"/>
      <c r="H41" s="31"/>
      <c r="I41" s="26" t="s">
        <v>108</v>
      </c>
      <c r="J41"/>
      <c r="K41" s="1">
        <f>IF(B31&gt;K38,K38,B31)</f>
        <v>0</v>
      </c>
      <c r="M41" s="110" t="s">
        <v>46</v>
      </c>
      <c r="N41" s="43" t="str">
        <f>IF(CDP!$D$25="LL",CDP!$C$28,"")</f>
        <v/>
      </c>
      <c r="O41" s="216"/>
      <c r="P41" s="657" t="s">
        <v>47</v>
      </c>
      <c r="Q41" s="658"/>
      <c r="R41" s="659"/>
      <c r="S41" s="217" t="e">
        <f>IF(R30=0,0,S40*100/R30)</f>
        <v>#VALUE!</v>
      </c>
      <c r="T41" s="187" t="s">
        <v>41</v>
      </c>
      <c r="V41" s="261" t="s">
        <v>96</v>
      </c>
      <c r="X41" s="118" t="e">
        <f>0.1*X39</f>
        <v>#VALUE!</v>
      </c>
    </row>
    <row r="42" spans="1:24" ht="30.65" customHeight="1" thickBot="1" x14ac:dyDescent="0.4">
      <c r="A42" s="31"/>
      <c r="B42" s="31"/>
      <c r="C42" s="116"/>
      <c r="D42" s="31"/>
      <c r="E42" s="31"/>
      <c r="F42" s="31"/>
      <c r="G42" s="31"/>
      <c r="H42" s="31"/>
      <c r="I42" s="26" t="s">
        <v>109</v>
      </c>
      <c r="J42"/>
      <c r="K42" s="1">
        <f>IF(K41=K38,0,K38-K41)</f>
        <v>0</v>
      </c>
      <c r="M42" s="110" t="s">
        <v>49</v>
      </c>
      <c r="N42" s="43" t="str">
        <f>IF(CDP!$D$25="LL",CDP!$C$29,"")</f>
        <v/>
      </c>
      <c r="O42" s="216"/>
      <c r="P42" s="660" t="s">
        <v>51</v>
      </c>
      <c r="Q42" s="661"/>
      <c r="R42" s="662"/>
      <c r="S42" s="711" t="e">
        <f>IF(N38&lt;S40,0,N38-S40)</f>
        <v>#VALUE!</v>
      </c>
      <c r="T42" s="702"/>
      <c r="V42" s="261" t="s">
        <v>78</v>
      </c>
      <c r="X42" s="118" t="e">
        <f>IF(X41=0,0,IF(N21+N22+N23&gt;X41,X41,N21+N22+N23))</f>
        <v>#VALUE!</v>
      </c>
    </row>
    <row r="43" spans="1:24" ht="28.15" customHeight="1" thickBot="1" x14ac:dyDescent="0.4">
      <c r="A43" s="31"/>
      <c r="B43" s="31"/>
      <c r="C43" s="116"/>
      <c r="D43" s="31"/>
      <c r="E43" s="31"/>
      <c r="F43" s="31"/>
      <c r="G43" s="31"/>
      <c r="H43" s="31"/>
      <c r="I43" s="26" t="s">
        <v>111</v>
      </c>
      <c r="J43"/>
      <c r="K43" s="1">
        <f>IF(K42&gt;0,B37-K42,B37)</f>
        <v>0</v>
      </c>
      <c r="M43" s="218" t="s">
        <v>54</v>
      </c>
      <c r="N43" s="219">
        <f>SUM(N41:N42)</f>
        <v>0</v>
      </c>
      <c r="O43" s="216"/>
      <c r="P43" s="712"/>
      <c r="Q43" s="712"/>
      <c r="R43" s="712"/>
      <c r="S43" s="713"/>
      <c r="T43" s="713"/>
      <c r="V43" s="261"/>
    </row>
    <row r="44" spans="1:24" ht="26.5" customHeight="1" thickBot="1" x14ac:dyDescent="0.4">
      <c r="A44" s="31"/>
      <c r="B44" s="31"/>
      <c r="C44" s="116"/>
      <c r="D44" s="31"/>
      <c r="E44" s="31"/>
      <c r="F44" s="31"/>
      <c r="G44" s="31"/>
      <c r="H44" s="31"/>
      <c r="M44" s="44"/>
      <c r="N44" s="44"/>
      <c r="O44" s="216"/>
      <c r="P44" s="618" t="s">
        <v>57</v>
      </c>
      <c r="Q44" s="619"/>
      <c r="R44" s="732"/>
      <c r="S44" s="733" t="e">
        <f>X11</f>
        <v>#VALUE!</v>
      </c>
      <c r="T44" s="621"/>
      <c r="V44" s="261" t="s">
        <v>84</v>
      </c>
      <c r="X44" s="118" t="e">
        <f>X27-X42</f>
        <v>#VALUE!</v>
      </c>
    </row>
    <row r="45" spans="1:24" ht="32.5" customHeight="1" thickBot="1" x14ac:dyDescent="0.4">
      <c r="A45" s="31"/>
      <c r="B45" s="31"/>
      <c r="C45" s="116"/>
      <c r="D45" s="31"/>
      <c r="E45" s="31"/>
      <c r="F45" s="31"/>
      <c r="G45" s="31"/>
      <c r="H45" s="31"/>
      <c r="M45" s="200" t="s">
        <v>61</v>
      </c>
      <c r="N45" s="220">
        <f>N43+N38</f>
        <v>0</v>
      </c>
      <c r="O45" s="211"/>
      <c r="P45" s="622" t="s">
        <v>62</v>
      </c>
      <c r="Q45" s="623"/>
      <c r="R45" s="727"/>
      <c r="S45" s="221" t="e">
        <f>IF(R30=0,0,S44*100/R30)</f>
        <v>#VALUE!</v>
      </c>
      <c r="T45" s="187" t="s">
        <v>41</v>
      </c>
      <c r="V45" s="261" t="s">
        <v>87</v>
      </c>
      <c r="X45" s="118" t="e">
        <f>IF(N20=0,0,IF(N20&gt;X44,X44,N20))</f>
        <v>#VALUE!</v>
      </c>
    </row>
    <row r="46" spans="1:24" ht="37.15" customHeight="1" x14ac:dyDescent="0.35">
      <c r="A46" s="31"/>
      <c r="B46" s="31"/>
      <c r="C46" s="116"/>
      <c r="D46" s="31"/>
      <c r="E46" s="31"/>
      <c r="F46" s="31"/>
      <c r="G46" s="31"/>
      <c r="H46" s="31"/>
      <c r="M46" s="198"/>
      <c r="N46" s="198"/>
      <c r="O46" s="67"/>
      <c r="P46" s="622" t="s">
        <v>69</v>
      </c>
      <c r="Q46" s="623"/>
      <c r="R46" s="727"/>
      <c r="S46" s="731" t="e">
        <f>X16</f>
        <v>#VALUE!</v>
      </c>
      <c r="T46" s="708"/>
      <c r="V46" s="261" t="s">
        <v>90</v>
      </c>
      <c r="X46" s="118" t="e">
        <f>X45+X42</f>
        <v>#VALUE!</v>
      </c>
    </row>
    <row r="47" spans="1:24" ht="31.9" customHeight="1" x14ac:dyDescent="0.35">
      <c r="A47" s="31"/>
      <c r="B47" s="31"/>
      <c r="C47" s="116"/>
      <c r="D47" s="31"/>
      <c r="E47" s="31"/>
      <c r="F47" s="31"/>
      <c r="G47" s="31"/>
      <c r="H47" s="31"/>
      <c r="M47" s="13"/>
      <c r="N47" s="222"/>
      <c r="O47" s="222"/>
      <c r="P47" s="622" t="s">
        <v>71</v>
      </c>
      <c r="Q47" s="623"/>
      <c r="R47" s="727"/>
      <c r="S47" s="221" t="e">
        <f>IF(R30=0,0,S46*100/R30)</f>
        <v>#VALUE!</v>
      </c>
      <c r="T47" s="187" t="s">
        <v>41</v>
      </c>
      <c r="V47" s="117"/>
    </row>
    <row r="48" spans="1:24" ht="30.65" customHeight="1" thickBot="1" x14ac:dyDescent="0.4">
      <c r="A48" s="31"/>
      <c r="B48" s="31"/>
      <c r="C48" s="116"/>
      <c r="D48" s="31"/>
      <c r="E48" s="31"/>
      <c r="F48" s="31"/>
      <c r="G48" s="31"/>
      <c r="H48" s="31"/>
      <c r="M48" s="198"/>
      <c r="N48" s="198"/>
      <c r="O48" s="198"/>
      <c r="P48" s="665" t="s">
        <v>67</v>
      </c>
      <c r="Q48" s="666"/>
      <c r="R48" s="728"/>
      <c r="S48" s="729" t="e">
        <f>IF(N43&lt;S44,0,N43-S44)</f>
        <v>#VALUE!</v>
      </c>
      <c r="T48" s="704"/>
      <c r="V48" s="117"/>
    </row>
    <row r="49" spans="1:24" ht="16.149999999999999" customHeight="1" x14ac:dyDescent="0.35">
      <c r="A49" s="31"/>
      <c r="B49" s="31"/>
      <c r="C49" s="31"/>
      <c r="D49" s="31"/>
      <c r="E49" s="31"/>
      <c r="F49" s="31"/>
      <c r="G49" s="31"/>
      <c r="H49" s="31"/>
      <c r="M49" s="45"/>
      <c r="N49" s="45"/>
      <c r="O49" s="45"/>
      <c r="P49" s="45"/>
      <c r="Q49" s="45"/>
      <c r="R49" s="45"/>
      <c r="S49" s="45"/>
      <c r="T49" s="45"/>
      <c r="V49" s="117"/>
    </row>
    <row r="50" spans="1:24" ht="16.149999999999999" customHeight="1" x14ac:dyDescent="0.35">
      <c r="A50" s="31"/>
      <c r="B50" s="31"/>
      <c r="C50" s="31"/>
      <c r="D50" s="31"/>
      <c r="E50" s="31"/>
      <c r="F50" s="31"/>
      <c r="G50" s="31"/>
      <c r="H50" s="31"/>
      <c r="M50" s="610"/>
      <c r="N50" s="610"/>
      <c r="O50" s="610"/>
      <c r="P50" s="610"/>
      <c r="Q50" s="610"/>
      <c r="R50" s="730"/>
      <c r="S50" s="730"/>
      <c r="T50" s="730"/>
      <c r="V50" s="117"/>
    </row>
    <row r="51" spans="1:24" ht="17.5" customHeight="1" thickBot="1" x14ac:dyDescent="0.4">
      <c r="A51" s="31"/>
      <c r="B51" s="31"/>
      <c r="C51" s="31"/>
      <c r="D51" s="31"/>
      <c r="E51" s="31"/>
      <c r="F51" s="31"/>
      <c r="G51" s="31"/>
      <c r="H51" s="31"/>
      <c r="M51" s="46"/>
      <c r="N51" s="46"/>
      <c r="O51" s="46"/>
      <c r="P51" s="46"/>
      <c r="Q51" s="46"/>
      <c r="R51" s="46"/>
      <c r="S51" s="46"/>
      <c r="T51" s="46"/>
      <c r="V51" s="117"/>
    </row>
    <row r="52" spans="1:24" ht="36" customHeight="1" x14ac:dyDescent="0.35">
      <c r="A52" s="31"/>
      <c r="B52" s="31"/>
      <c r="C52" s="31"/>
      <c r="D52" s="31"/>
      <c r="E52" s="31"/>
      <c r="F52" s="31"/>
      <c r="G52" s="31"/>
      <c r="H52" s="31"/>
      <c r="M52" s="721" t="s">
        <v>159</v>
      </c>
      <c r="N52" s="722"/>
      <c r="O52" s="722"/>
      <c r="P52" s="722"/>
      <c r="Q52" s="722"/>
      <c r="R52" s="722"/>
      <c r="S52" s="722"/>
      <c r="T52" s="723"/>
      <c r="V52" s="117"/>
    </row>
    <row r="53" spans="1:24" thickBot="1" x14ac:dyDescent="0.4">
      <c r="A53" s="31"/>
      <c r="B53" s="31"/>
      <c r="C53" s="31"/>
      <c r="D53" s="31"/>
      <c r="E53" s="31"/>
      <c r="F53" s="31"/>
      <c r="G53" s="31"/>
      <c r="H53" s="31"/>
      <c r="K53" s="15"/>
      <c r="M53" s="724"/>
      <c r="N53" s="725"/>
      <c r="O53" s="725"/>
      <c r="P53" s="725"/>
      <c r="Q53" s="725"/>
      <c r="R53" s="725"/>
      <c r="S53" s="725"/>
      <c r="T53" s="726"/>
      <c r="V53" s="259" t="s">
        <v>118</v>
      </c>
      <c r="W53" s="254"/>
      <c r="X53" s="118" t="str">
        <f>S60</f>
        <v/>
      </c>
    </row>
    <row r="54" spans="1:24" ht="34.9" customHeight="1" thickBot="1" x14ac:dyDescent="0.4">
      <c r="A54" s="31"/>
      <c r="B54" s="31"/>
      <c r="C54" s="31"/>
      <c r="D54" s="31"/>
      <c r="E54" s="31"/>
      <c r="F54" s="31"/>
      <c r="G54" s="31"/>
      <c r="H54" s="31"/>
      <c r="K54" s="15"/>
      <c r="M54" s="634" t="s">
        <v>130</v>
      </c>
      <c r="N54" s="635"/>
      <c r="O54" s="635"/>
      <c r="P54" s="635"/>
      <c r="Q54" s="656"/>
      <c r="R54" s="636" t="e">
        <f>S60+S63</f>
        <v>#VALUE!</v>
      </c>
      <c r="S54" s="637"/>
      <c r="T54" s="638"/>
      <c r="V54" s="259" t="s">
        <v>120</v>
      </c>
      <c r="W54" s="66"/>
      <c r="X54" s="118">
        <f>N66</f>
        <v>0</v>
      </c>
    </row>
    <row r="55" spans="1:24" ht="39" customHeight="1" thickBot="1" x14ac:dyDescent="0.4">
      <c r="A55" s="31"/>
      <c r="B55" s="31"/>
      <c r="C55" s="31"/>
      <c r="D55" s="31"/>
      <c r="E55" s="31"/>
      <c r="F55" s="31"/>
      <c r="G55" s="31"/>
      <c r="H55" s="31"/>
      <c r="K55" s="15"/>
      <c r="M55" s="649" t="s">
        <v>131</v>
      </c>
      <c r="N55" s="650"/>
      <c r="O55" s="650"/>
      <c r="P55" s="650"/>
      <c r="Q55" s="651"/>
      <c r="R55" s="652">
        <f>S65</f>
        <v>0</v>
      </c>
      <c r="S55" s="653"/>
      <c r="T55" s="654"/>
      <c r="V55" s="259" t="s">
        <v>29</v>
      </c>
      <c r="W55" s="66"/>
      <c r="X55" s="118" t="e">
        <f>IF((S60*100/R54)&gt;50,100-(S60*100/R54),50)</f>
        <v>#VALUE!</v>
      </c>
    </row>
    <row r="56" spans="1:24" ht="17.5" customHeight="1" x14ac:dyDescent="0.35">
      <c r="A56" s="31"/>
      <c r="B56" s="31"/>
      <c r="C56" s="31"/>
      <c r="D56" s="31"/>
      <c r="E56" s="31"/>
      <c r="F56" s="31"/>
      <c r="G56" s="31"/>
      <c r="H56" s="31"/>
      <c r="K56" s="15"/>
      <c r="M56" s="530" t="s">
        <v>151</v>
      </c>
      <c r="N56" s="531"/>
      <c r="O56" s="531"/>
      <c r="P56" s="531"/>
      <c r="Q56" s="531"/>
      <c r="R56" s="531"/>
      <c r="S56" s="531"/>
      <c r="T56" s="532"/>
      <c r="V56" s="259" t="s">
        <v>125</v>
      </c>
      <c r="W56" s="66"/>
      <c r="X56" s="118">
        <f>IF(X54&gt;X53,X53,X54)</f>
        <v>0</v>
      </c>
    </row>
    <row r="57" spans="1:24" ht="18.5" thickBot="1" x14ac:dyDescent="0.4">
      <c r="A57" s="31"/>
      <c r="B57" s="31"/>
      <c r="C57" s="31"/>
      <c r="D57" s="31"/>
      <c r="E57" s="31"/>
      <c r="F57" s="31"/>
      <c r="G57" s="31"/>
      <c r="H57" s="31"/>
      <c r="K57" s="15"/>
      <c r="M57" s="533"/>
      <c r="N57" s="534"/>
      <c r="O57" s="534"/>
      <c r="P57" s="534"/>
      <c r="Q57" s="534"/>
      <c r="R57" s="534"/>
      <c r="S57" s="534"/>
      <c r="T57" s="535"/>
      <c r="V57" s="117"/>
    </row>
    <row r="58" spans="1:24" ht="20.5" customHeight="1" x14ac:dyDescent="0.35">
      <c r="A58" s="31"/>
      <c r="B58" s="31"/>
      <c r="C58" s="31"/>
      <c r="D58" s="31"/>
      <c r="E58" s="31"/>
      <c r="F58" s="31"/>
      <c r="G58" s="31"/>
      <c r="H58" s="31"/>
      <c r="K58" s="15"/>
      <c r="M58" s="714" t="s">
        <v>4</v>
      </c>
      <c r="N58" s="716" t="s">
        <v>15</v>
      </c>
      <c r="O58" s="655" t="s">
        <v>6</v>
      </c>
      <c r="P58" s="655" t="s">
        <v>13</v>
      </c>
      <c r="Q58" s="655" t="s">
        <v>8</v>
      </c>
      <c r="R58" s="655" t="s">
        <v>9</v>
      </c>
      <c r="S58" s="655" t="s">
        <v>10</v>
      </c>
      <c r="T58" s="655"/>
      <c r="V58" s="117"/>
    </row>
    <row r="59" spans="1:24" ht="40.15" customHeight="1" thickBot="1" x14ac:dyDescent="0.4">
      <c r="A59" s="31"/>
      <c r="B59" s="31"/>
      <c r="C59" s="31"/>
      <c r="D59" s="31"/>
      <c r="E59" s="31"/>
      <c r="F59" s="31"/>
      <c r="G59" s="31"/>
      <c r="H59" s="31"/>
      <c r="K59" s="15"/>
      <c r="M59" s="715"/>
      <c r="N59" s="717"/>
      <c r="O59" s="655"/>
      <c r="P59" s="655"/>
      <c r="Q59" s="655"/>
      <c r="R59" s="655"/>
      <c r="S59" s="655"/>
      <c r="T59" s="655"/>
      <c r="V59" s="117"/>
    </row>
    <row r="60" spans="1:24" ht="34.9" customHeight="1" thickBot="1" x14ac:dyDescent="0.45">
      <c r="A60" s="31"/>
      <c r="B60" s="31"/>
      <c r="C60" s="31"/>
      <c r="D60" s="31"/>
      <c r="E60" s="31"/>
      <c r="F60" s="31"/>
      <c r="G60" s="31"/>
      <c r="H60" s="31"/>
      <c r="K60" s="15"/>
      <c r="M60" s="223" t="s">
        <v>66</v>
      </c>
      <c r="N60" s="126" t="str">
        <f>IF(CDP!$D$30="LL",CDP!$C$30,"")</f>
        <v/>
      </c>
      <c r="O60" s="120" t="e">
        <f>N60/($N$68+0.00001)</f>
        <v>#VALUE!</v>
      </c>
      <c r="P60" s="734" t="s">
        <v>43</v>
      </c>
      <c r="Q60" s="734"/>
      <c r="R60" s="734"/>
      <c r="S60" s="735" t="str">
        <f>N60</f>
        <v/>
      </c>
      <c r="T60" s="735"/>
      <c r="V60" s="117"/>
    </row>
    <row r="61" spans="1:24" ht="27.65" customHeight="1" thickBot="1" x14ac:dyDescent="0.45">
      <c r="A61" s="31"/>
      <c r="B61" s="31"/>
      <c r="C61" s="31"/>
      <c r="D61" s="31"/>
      <c r="E61" s="31"/>
      <c r="F61" s="31"/>
      <c r="G61" s="31"/>
      <c r="H61" s="31"/>
      <c r="K61" s="15"/>
      <c r="M61" s="224" t="s">
        <v>37</v>
      </c>
      <c r="N61" s="225" t="str">
        <f>N60</f>
        <v/>
      </c>
      <c r="O61" s="30"/>
      <c r="P61" s="736" t="s">
        <v>123</v>
      </c>
      <c r="Q61" s="736"/>
      <c r="R61" s="736"/>
      <c r="S61" s="226" t="e">
        <f>IF(R54=0,0,S60*100/R54)</f>
        <v>#VALUE!</v>
      </c>
      <c r="T61" s="227" t="s">
        <v>41</v>
      </c>
      <c r="V61" s="117"/>
    </row>
    <row r="62" spans="1:24" ht="21" thickBot="1" x14ac:dyDescent="0.45">
      <c r="A62" s="31"/>
      <c r="B62" s="31"/>
      <c r="C62" s="31"/>
      <c r="D62" s="31"/>
      <c r="E62" s="31"/>
      <c r="F62" s="31"/>
      <c r="G62" s="31"/>
      <c r="H62" s="31"/>
      <c r="K62" s="15"/>
      <c r="M62" s="14"/>
      <c r="N62" s="54"/>
      <c r="O62" s="228"/>
      <c r="P62" s="34"/>
      <c r="Q62" s="30"/>
      <c r="R62" s="34"/>
      <c r="S62" s="615"/>
      <c r="T62" s="615"/>
    </row>
    <row r="63" spans="1:24" ht="27.65" customHeight="1" x14ac:dyDescent="0.4">
      <c r="A63" s="31"/>
      <c r="B63" s="31"/>
      <c r="C63" s="31"/>
      <c r="D63" s="31"/>
      <c r="E63" s="31"/>
      <c r="F63" s="31"/>
      <c r="G63" s="31"/>
      <c r="H63" s="31"/>
      <c r="K63" s="15"/>
      <c r="M63" s="110" t="s">
        <v>70</v>
      </c>
      <c r="N63" s="47" t="str">
        <f>IF(CDP!$D$31="LL",CDP!$C$31,"")</f>
        <v/>
      </c>
      <c r="O63" s="30"/>
      <c r="P63" s="618" t="s">
        <v>126</v>
      </c>
      <c r="Q63" s="619"/>
      <c r="R63" s="619"/>
      <c r="S63" s="620">
        <f>X56</f>
        <v>0</v>
      </c>
      <c r="T63" s="621"/>
    </row>
    <row r="64" spans="1:24" ht="27.65" customHeight="1" x14ac:dyDescent="0.4">
      <c r="A64" s="31"/>
      <c r="B64" s="31"/>
      <c r="C64" s="31"/>
      <c r="D64" s="31"/>
      <c r="E64" s="31"/>
      <c r="F64" s="31"/>
      <c r="G64" s="31"/>
      <c r="H64" s="31"/>
      <c r="K64" s="15"/>
      <c r="M64" s="110" t="s">
        <v>72</v>
      </c>
      <c r="N64" s="47" t="str">
        <f>IF(CDP!$D$32="LL",CDP!$C$32,"")</f>
        <v/>
      </c>
      <c r="O64" s="33"/>
      <c r="P64" s="622" t="s">
        <v>127</v>
      </c>
      <c r="Q64" s="623"/>
      <c r="R64" s="624"/>
      <c r="S64" s="186" t="e">
        <f>IF(R54=0,0,S63*100/R54)</f>
        <v>#VALUE!</v>
      </c>
      <c r="T64" s="187" t="s">
        <v>41</v>
      </c>
    </row>
    <row r="65" spans="1:27" ht="32.5" customHeight="1" thickBot="1" x14ac:dyDescent="0.45">
      <c r="A65" s="31"/>
      <c r="B65" s="31"/>
      <c r="C65" s="31"/>
      <c r="D65" s="31"/>
      <c r="E65" s="31"/>
      <c r="F65" s="31"/>
      <c r="G65" s="31"/>
      <c r="H65" s="31"/>
      <c r="K65" s="15"/>
      <c r="M65" s="229" t="s">
        <v>75</v>
      </c>
      <c r="N65" s="125" t="str">
        <f>IF(CDP!$D$33="LL",CDP!$C$33,"")</f>
        <v/>
      </c>
      <c r="O65" s="34"/>
      <c r="P65" s="665" t="s">
        <v>128</v>
      </c>
      <c r="Q65" s="666"/>
      <c r="R65" s="666"/>
      <c r="S65" s="703">
        <f>IF(N66&lt;S63,0,N66-S63)</f>
        <v>0</v>
      </c>
      <c r="T65" s="704"/>
    </row>
    <row r="66" spans="1:27" ht="31.15" customHeight="1" thickBot="1" x14ac:dyDescent="0.45">
      <c r="A66" s="31"/>
      <c r="B66" s="31"/>
      <c r="C66" s="31"/>
      <c r="D66" s="31"/>
      <c r="E66" s="31"/>
      <c r="F66" s="31"/>
      <c r="G66" s="31"/>
      <c r="H66" s="31"/>
      <c r="K66" s="15"/>
      <c r="M66" s="196" t="s">
        <v>129</v>
      </c>
      <c r="N66" s="230">
        <f>SUM(N63:N65)</f>
        <v>0</v>
      </c>
      <c r="O66" s="34"/>
      <c r="P66" s="231"/>
      <c r="Q66" s="231"/>
      <c r="R66" s="231"/>
      <c r="S66" s="194"/>
      <c r="T66" s="194"/>
    </row>
    <row r="67" spans="1:27" ht="18.5" thickBot="1" x14ac:dyDescent="0.4">
      <c r="A67" s="31"/>
      <c r="B67" s="31"/>
      <c r="C67" s="31"/>
      <c r="D67" s="31"/>
      <c r="E67" s="31"/>
      <c r="F67" s="31"/>
      <c r="G67" s="31"/>
      <c r="H67" s="31"/>
      <c r="K67" s="15"/>
      <c r="M67" s="14"/>
      <c r="N67" s="14"/>
      <c r="O67" s="34"/>
      <c r="P67" s="34"/>
      <c r="Q67" s="34"/>
      <c r="R67" s="34"/>
      <c r="S67" s="31"/>
      <c r="T67" s="31"/>
    </row>
    <row r="68" spans="1:27" ht="32.5" customHeight="1" thickBot="1" x14ac:dyDescent="0.4">
      <c r="A68" s="31"/>
      <c r="B68" s="31"/>
      <c r="C68" s="31"/>
      <c r="D68" s="31"/>
      <c r="E68" s="31"/>
      <c r="F68" s="31"/>
      <c r="G68" s="31"/>
      <c r="H68" s="31"/>
      <c r="K68" s="15"/>
      <c r="M68" s="232" t="s">
        <v>61</v>
      </c>
      <c r="N68" s="233" t="e">
        <f>N74+N66+N61</f>
        <v>#VALUE!</v>
      </c>
      <c r="O68" s="34"/>
      <c r="P68" s="31"/>
      <c r="Q68" s="31"/>
      <c r="R68" s="31"/>
      <c r="S68" s="31"/>
      <c r="T68" s="31"/>
    </row>
    <row r="69" spans="1:27" x14ac:dyDescent="0.35">
      <c r="A69" s="286"/>
      <c r="B69" s="286"/>
      <c r="C69" s="286"/>
      <c r="D69" s="286"/>
      <c r="E69" s="286"/>
      <c r="F69" s="286"/>
      <c r="G69" s="286"/>
      <c r="H69" s="286"/>
      <c r="I69" s="286"/>
      <c r="J69" s="286"/>
      <c r="K69" s="288"/>
      <c r="L69" s="286"/>
      <c r="M69" s="286"/>
      <c r="N69" s="286"/>
      <c r="O69" s="286"/>
      <c r="P69" s="286"/>
      <c r="Q69" s="286"/>
      <c r="R69" s="286"/>
      <c r="S69" s="286"/>
      <c r="T69" s="286"/>
      <c r="U69" s="286"/>
      <c r="V69" s="295"/>
      <c r="W69" s="234"/>
      <c r="X69" s="236"/>
      <c r="Y69" s="286"/>
      <c r="Z69" s="286"/>
      <c r="AA69" s="286"/>
    </row>
    <row r="70" spans="1:27" x14ac:dyDescent="0.35">
      <c r="A70" s="286"/>
      <c r="B70" s="286"/>
      <c r="C70" s="286"/>
      <c r="D70" s="286"/>
      <c r="E70" s="286"/>
      <c r="F70" s="286"/>
      <c r="G70" s="286"/>
      <c r="H70" s="286"/>
      <c r="I70" s="286"/>
      <c r="J70" s="286"/>
      <c r="K70" s="288"/>
      <c r="L70" s="286"/>
      <c r="M70" s="286"/>
      <c r="N70" s="286"/>
      <c r="O70" s="286"/>
      <c r="P70" s="286"/>
      <c r="Q70" s="286"/>
      <c r="R70" s="286"/>
      <c r="S70" s="286"/>
      <c r="T70" s="286"/>
      <c r="U70" s="286"/>
      <c r="V70" s="295"/>
      <c r="W70" s="234"/>
      <c r="X70" s="236"/>
      <c r="Y70" s="286"/>
      <c r="Z70" s="286"/>
      <c r="AA70" s="286"/>
    </row>
    <row r="71" spans="1:27" x14ac:dyDescent="0.35">
      <c r="A71" s="286"/>
      <c r="B71" s="286"/>
      <c r="C71" s="286"/>
      <c r="D71" s="286"/>
      <c r="E71" s="286"/>
      <c r="F71" s="286"/>
      <c r="G71" s="286"/>
      <c r="H71" s="286"/>
      <c r="I71" s="286"/>
      <c r="J71" s="286"/>
      <c r="K71" s="288"/>
      <c r="L71" s="286"/>
      <c r="M71" s="286"/>
      <c r="N71" s="286"/>
      <c r="O71" s="286"/>
      <c r="P71" s="286"/>
      <c r="Q71" s="286"/>
      <c r="R71" s="286"/>
      <c r="S71" s="286"/>
      <c r="T71" s="286"/>
      <c r="U71" s="286"/>
      <c r="V71" s="295"/>
      <c r="W71" s="234"/>
      <c r="X71" s="236"/>
      <c r="Y71" s="286"/>
      <c r="Z71" s="286"/>
      <c r="AA71" s="286"/>
    </row>
    <row r="72" spans="1:27" x14ac:dyDescent="0.35">
      <c r="A72" s="286"/>
      <c r="B72" s="286"/>
      <c r="C72" s="286"/>
      <c r="D72" s="286"/>
      <c r="E72" s="286"/>
      <c r="F72" s="286"/>
      <c r="G72" s="286"/>
      <c r="H72" s="286"/>
      <c r="I72" s="286"/>
      <c r="J72" s="286"/>
      <c r="K72" s="288"/>
      <c r="L72" s="286"/>
      <c r="M72" s="286"/>
      <c r="N72" s="286"/>
      <c r="O72" s="286"/>
      <c r="P72" s="286"/>
      <c r="Q72" s="286"/>
      <c r="R72" s="286"/>
      <c r="S72" s="286"/>
      <c r="T72" s="286"/>
      <c r="U72" s="286"/>
      <c r="V72" s="295"/>
      <c r="W72" s="234"/>
      <c r="X72" s="236"/>
      <c r="Y72" s="286"/>
      <c r="Z72" s="286"/>
      <c r="AA72" s="286"/>
    </row>
    <row r="73" spans="1:27" x14ac:dyDescent="0.35">
      <c r="A73" s="286"/>
      <c r="B73" s="286"/>
      <c r="C73" s="286"/>
      <c r="D73" s="286"/>
      <c r="E73" s="286"/>
      <c r="F73" s="286"/>
      <c r="G73" s="286"/>
      <c r="H73" s="286"/>
      <c r="I73" s="286"/>
      <c r="J73" s="286"/>
      <c r="K73" s="288"/>
      <c r="L73" s="286"/>
      <c r="M73" s="296"/>
      <c r="N73" s="296"/>
      <c r="O73" s="296"/>
      <c r="P73" s="296"/>
      <c r="Q73" s="296"/>
      <c r="R73" s="296"/>
      <c r="S73" s="296"/>
      <c r="T73" s="296"/>
      <c r="U73" s="286"/>
      <c r="V73" s="295"/>
      <c r="W73" s="234"/>
      <c r="X73" s="236"/>
      <c r="Y73" s="286"/>
      <c r="Z73" s="286"/>
      <c r="AA73" s="286"/>
    </row>
    <row r="74" spans="1:27" x14ac:dyDescent="0.35">
      <c r="A74" s="286"/>
      <c r="B74" s="286"/>
      <c r="C74" s="286"/>
      <c r="D74" s="286"/>
      <c r="E74" s="286"/>
      <c r="F74" s="286"/>
      <c r="G74" s="286"/>
      <c r="H74" s="286"/>
      <c r="I74" s="286"/>
      <c r="J74" s="286"/>
      <c r="K74" s="288"/>
      <c r="L74" s="286"/>
      <c r="M74" s="296"/>
      <c r="N74" s="296"/>
      <c r="O74" s="296"/>
      <c r="P74" s="296"/>
      <c r="Q74" s="296"/>
      <c r="R74" s="296"/>
      <c r="S74" s="296"/>
      <c r="T74" s="296"/>
      <c r="U74" s="286"/>
      <c r="V74" s="295"/>
      <c r="W74" s="234"/>
      <c r="X74" s="236"/>
      <c r="Y74" s="286"/>
      <c r="Z74" s="286"/>
      <c r="AA74" s="286"/>
    </row>
    <row r="75" spans="1:27" x14ac:dyDescent="0.35">
      <c r="A75" s="286"/>
      <c r="B75" s="286"/>
      <c r="C75" s="286"/>
      <c r="D75" s="286"/>
      <c r="E75" s="286"/>
      <c r="F75" s="286"/>
      <c r="G75" s="286"/>
      <c r="H75" s="286"/>
      <c r="I75" s="286"/>
      <c r="J75" s="286"/>
      <c r="K75" s="288"/>
      <c r="L75" s="286"/>
      <c r="M75" s="296"/>
      <c r="N75" s="296"/>
      <c r="O75" s="296"/>
      <c r="P75" s="296"/>
      <c r="Q75" s="296"/>
      <c r="R75" s="296"/>
      <c r="S75" s="296"/>
      <c r="T75" s="296"/>
      <c r="U75" s="286"/>
      <c r="V75" s="295"/>
      <c r="W75" s="234"/>
      <c r="X75" s="236"/>
      <c r="Y75" s="286"/>
      <c r="Z75" s="286"/>
      <c r="AA75" s="286"/>
    </row>
    <row r="76" spans="1:27" x14ac:dyDescent="0.35">
      <c r="A76" s="286"/>
      <c r="B76" s="286"/>
      <c r="C76" s="286"/>
      <c r="D76" s="286"/>
      <c r="E76" s="286"/>
      <c r="F76" s="286"/>
      <c r="G76" s="286"/>
      <c r="H76" s="286"/>
      <c r="I76" s="286"/>
      <c r="J76" s="286"/>
      <c r="K76" s="288"/>
      <c r="L76" s="286"/>
      <c r="M76" s="296"/>
      <c r="N76" s="296"/>
      <c r="O76" s="296"/>
      <c r="P76" s="296"/>
      <c r="Q76" s="296"/>
      <c r="R76" s="296"/>
      <c r="S76" s="296"/>
      <c r="T76" s="296"/>
      <c r="U76" s="286"/>
      <c r="V76" s="295"/>
      <c r="W76" s="234"/>
      <c r="X76" s="236"/>
      <c r="Y76" s="286"/>
      <c r="Z76" s="286"/>
      <c r="AA76" s="286"/>
    </row>
    <row r="77" spans="1:27" ht="23.5" customHeight="1" x14ac:dyDescent="0.35">
      <c r="A77" s="286"/>
      <c r="B77" s="286"/>
      <c r="C77" s="286"/>
      <c r="D77" s="286"/>
      <c r="E77" s="286"/>
      <c r="F77" s="286"/>
      <c r="G77" s="286"/>
      <c r="H77" s="286"/>
      <c r="I77" s="286"/>
      <c r="J77" s="286"/>
      <c r="K77" s="288"/>
      <c r="L77" s="286"/>
      <c r="M77" s="296"/>
      <c r="N77" s="296"/>
      <c r="O77" s="296"/>
      <c r="P77" s="296"/>
      <c r="Q77" s="296"/>
      <c r="R77" s="296"/>
      <c r="S77" s="296"/>
      <c r="T77" s="296"/>
      <c r="U77" s="286"/>
      <c r="V77" s="295"/>
      <c r="W77" s="234"/>
      <c r="X77" s="236"/>
      <c r="Y77" s="286"/>
      <c r="Z77" s="286"/>
      <c r="AA77" s="286"/>
    </row>
    <row r="78" spans="1:27" x14ac:dyDescent="0.35">
      <c r="A78" s="286"/>
      <c r="B78" s="286"/>
      <c r="C78" s="286"/>
      <c r="D78" s="286"/>
      <c r="E78" s="286"/>
      <c r="F78" s="286"/>
      <c r="G78" s="286"/>
      <c r="H78" s="286"/>
      <c r="I78" s="286"/>
      <c r="J78" s="286"/>
      <c r="K78" s="288"/>
      <c r="L78" s="286"/>
      <c r="M78" s="296"/>
      <c r="N78" s="296"/>
      <c r="O78" s="296"/>
      <c r="P78" s="296"/>
      <c r="Q78" s="296"/>
      <c r="R78" s="296"/>
      <c r="S78" s="296"/>
      <c r="T78" s="296"/>
      <c r="U78" s="286"/>
      <c r="V78" s="295"/>
      <c r="W78" s="234"/>
      <c r="X78" s="236"/>
      <c r="Y78" s="286"/>
      <c r="Z78" s="286"/>
      <c r="AA78" s="286"/>
    </row>
    <row r="79" spans="1:27" x14ac:dyDescent="0.35">
      <c r="A79" s="286"/>
      <c r="B79" s="286"/>
      <c r="C79" s="286"/>
      <c r="D79" s="286"/>
      <c r="E79" s="286"/>
      <c r="F79" s="286"/>
      <c r="G79" s="286"/>
      <c r="H79" s="286"/>
      <c r="I79" s="286"/>
      <c r="J79" s="286"/>
      <c r="K79" s="288"/>
      <c r="L79" s="286"/>
      <c r="M79" s="296"/>
      <c r="N79" s="296"/>
      <c r="O79" s="296"/>
      <c r="P79" s="296"/>
      <c r="Q79" s="296"/>
      <c r="R79" s="296"/>
      <c r="S79" s="296"/>
      <c r="T79" s="296"/>
      <c r="U79" s="286"/>
      <c r="V79" s="295"/>
      <c r="W79" s="234"/>
      <c r="X79" s="236"/>
      <c r="Y79" s="286"/>
      <c r="Z79" s="286"/>
      <c r="AA79" s="286"/>
    </row>
    <row r="80" spans="1:27" x14ac:dyDescent="0.35">
      <c r="A80" s="286"/>
      <c r="B80" s="286"/>
      <c r="C80" s="286"/>
      <c r="D80" s="286"/>
      <c r="E80" s="286"/>
      <c r="F80" s="286"/>
      <c r="G80" s="286"/>
      <c r="H80" s="286"/>
      <c r="I80" s="286"/>
      <c r="J80" s="286"/>
      <c r="K80" s="288"/>
      <c r="L80" s="286"/>
      <c r="M80" s="296"/>
      <c r="N80" s="296"/>
      <c r="O80" s="296"/>
      <c r="P80" s="296"/>
      <c r="Q80" s="296"/>
      <c r="R80" s="296"/>
      <c r="S80" s="296"/>
      <c r="T80" s="296"/>
      <c r="U80" s="286"/>
      <c r="V80" s="295"/>
      <c r="W80" s="234"/>
      <c r="X80" s="236"/>
      <c r="Y80" s="286"/>
      <c r="Z80" s="286"/>
      <c r="AA80" s="286"/>
    </row>
    <row r="81" spans="1:27" x14ac:dyDescent="0.35">
      <c r="A81" s="286"/>
      <c r="B81" s="286"/>
      <c r="C81" s="286"/>
      <c r="D81" s="286"/>
      <c r="E81" s="286"/>
      <c r="F81" s="286"/>
      <c r="G81" s="286"/>
      <c r="H81" s="286"/>
      <c r="I81" s="286"/>
      <c r="J81" s="286"/>
      <c r="K81" s="288"/>
      <c r="L81" s="286"/>
      <c r="M81" s="296"/>
      <c r="N81" s="296"/>
      <c r="O81" s="296"/>
      <c r="P81" s="296"/>
      <c r="Q81" s="296"/>
      <c r="R81" s="296"/>
      <c r="S81" s="296"/>
      <c r="T81" s="296"/>
      <c r="U81" s="286"/>
      <c r="V81" s="295"/>
      <c r="W81" s="234"/>
      <c r="X81" s="236"/>
      <c r="Y81" s="286"/>
      <c r="Z81" s="286"/>
      <c r="AA81" s="286"/>
    </row>
    <row r="82" spans="1:27" x14ac:dyDescent="0.35">
      <c r="A82" s="286"/>
      <c r="B82" s="286"/>
      <c r="C82" s="286"/>
      <c r="D82" s="286"/>
      <c r="E82" s="286"/>
      <c r="F82" s="286"/>
      <c r="G82" s="286"/>
      <c r="H82" s="286"/>
      <c r="I82" s="286"/>
      <c r="J82" s="286"/>
      <c r="K82" s="288"/>
      <c r="L82" s="286"/>
      <c r="M82" s="296"/>
      <c r="N82" s="296"/>
      <c r="O82" s="296"/>
      <c r="P82" s="296"/>
      <c r="Q82" s="296"/>
      <c r="R82" s="296"/>
      <c r="S82" s="296"/>
      <c r="T82" s="296"/>
      <c r="U82" s="286"/>
      <c r="V82" s="295"/>
      <c r="W82" s="234"/>
      <c r="X82" s="236"/>
      <c r="Y82" s="286"/>
      <c r="Z82" s="286"/>
      <c r="AA82" s="286"/>
    </row>
    <row r="83" spans="1:27" x14ac:dyDescent="0.35">
      <c r="A83" s="286"/>
      <c r="B83" s="286"/>
      <c r="C83" s="286"/>
      <c r="D83" s="286"/>
      <c r="E83" s="286"/>
      <c r="F83" s="286"/>
      <c r="G83" s="286"/>
      <c r="H83" s="286"/>
      <c r="I83" s="286"/>
      <c r="J83" s="286"/>
      <c r="K83" s="288"/>
      <c r="L83" s="286"/>
      <c r="M83" s="296"/>
      <c r="N83" s="296"/>
      <c r="O83" s="296"/>
      <c r="P83" s="296"/>
      <c r="Q83" s="296"/>
      <c r="R83" s="296"/>
      <c r="S83" s="296"/>
      <c r="T83" s="296"/>
      <c r="U83" s="286"/>
      <c r="V83" s="295"/>
      <c r="W83" s="234"/>
      <c r="X83" s="236"/>
      <c r="Y83" s="286"/>
      <c r="Z83" s="286"/>
      <c r="AA83" s="286"/>
    </row>
    <row r="84" spans="1:27" x14ac:dyDescent="0.35">
      <c r="A84" s="286"/>
      <c r="B84" s="286"/>
      <c r="C84" s="286"/>
      <c r="D84" s="286"/>
      <c r="E84" s="286"/>
      <c r="F84" s="286"/>
      <c r="G84" s="286"/>
      <c r="H84" s="286"/>
      <c r="I84" s="286"/>
      <c r="J84" s="286"/>
      <c r="K84" s="288"/>
      <c r="L84" s="286"/>
      <c r="M84" s="296"/>
      <c r="N84" s="296"/>
      <c r="O84" s="296"/>
      <c r="P84" s="296"/>
      <c r="Q84" s="296"/>
      <c r="R84" s="296"/>
      <c r="S84" s="296"/>
      <c r="T84" s="296"/>
      <c r="U84" s="286"/>
      <c r="V84" s="295"/>
      <c r="W84" s="234"/>
      <c r="X84" s="236"/>
      <c r="Y84" s="286"/>
      <c r="Z84" s="286"/>
      <c r="AA84" s="286"/>
    </row>
    <row r="85" spans="1:27" x14ac:dyDescent="0.35">
      <c r="A85" s="286"/>
      <c r="B85" s="286"/>
      <c r="C85" s="286"/>
      <c r="D85" s="286"/>
      <c r="E85" s="286"/>
      <c r="F85" s="286"/>
      <c r="G85" s="286"/>
      <c r="H85" s="286"/>
      <c r="I85" s="286"/>
      <c r="J85" s="286"/>
      <c r="K85" s="288"/>
      <c r="L85" s="286"/>
      <c r="M85" s="296"/>
      <c r="N85" s="296"/>
      <c r="O85" s="296"/>
      <c r="P85" s="296"/>
      <c r="Q85" s="296"/>
      <c r="R85" s="296"/>
      <c r="S85" s="296"/>
      <c r="T85" s="296"/>
      <c r="U85" s="286"/>
      <c r="V85" s="295"/>
      <c r="W85" s="234"/>
      <c r="X85" s="236"/>
      <c r="Y85" s="286"/>
      <c r="Z85" s="286"/>
      <c r="AA85" s="286"/>
    </row>
    <row r="86" spans="1:27" x14ac:dyDescent="0.35">
      <c r="A86" s="286"/>
      <c r="B86" s="286"/>
      <c r="C86" s="286"/>
      <c r="D86" s="286"/>
      <c r="E86" s="286"/>
      <c r="F86" s="286"/>
      <c r="G86" s="286"/>
      <c r="H86" s="286"/>
      <c r="I86" s="286"/>
      <c r="J86" s="286"/>
      <c r="K86" s="288"/>
      <c r="L86" s="286"/>
      <c r="M86" s="296"/>
      <c r="N86" s="296"/>
      <c r="O86" s="296"/>
      <c r="P86" s="296"/>
      <c r="Q86" s="296"/>
      <c r="R86" s="296"/>
      <c r="S86" s="296"/>
      <c r="T86" s="296"/>
      <c r="U86" s="286"/>
      <c r="V86" s="295"/>
      <c r="W86" s="234"/>
      <c r="X86" s="236"/>
      <c r="Y86" s="286"/>
      <c r="Z86" s="286"/>
      <c r="AA86" s="286"/>
    </row>
    <row r="87" spans="1:27" x14ac:dyDescent="0.35">
      <c r="A87" s="286"/>
      <c r="B87" s="286"/>
      <c r="C87" s="286"/>
      <c r="D87" s="286"/>
      <c r="E87" s="286"/>
      <c r="F87" s="286"/>
      <c r="G87" s="286"/>
      <c r="H87" s="286"/>
      <c r="I87" s="286"/>
      <c r="J87" s="286"/>
      <c r="K87" s="288"/>
      <c r="L87" s="286"/>
      <c r="M87" s="296"/>
      <c r="N87" s="296"/>
      <c r="O87" s="296"/>
      <c r="P87" s="296"/>
      <c r="Q87" s="296"/>
      <c r="R87" s="296"/>
      <c r="S87" s="296"/>
      <c r="T87" s="296"/>
      <c r="U87" s="286"/>
      <c r="V87" s="295"/>
      <c r="W87" s="234"/>
      <c r="X87" s="236"/>
      <c r="Y87" s="286"/>
      <c r="Z87" s="286"/>
      <c r="AA87" s="286"/>
    </row>
    <row r="88" spans="1:27" x14ac:dyDescent="0.35">
      <c r="A88" s="286"/>
      <c r="B88" s="286"/>
      <c r="C88" s="286"/>
      <c r="D88" s="286"/>
      <c r="E88" s="286"/>
      <c r="F88" s="286"/>
      <c r="G88" s="286"/>
      <c r="H88" s="286"/>
      <c r="I88" s="286"/>
      <c r="J88" s="286"/>
      <c r="K88" s="288"/>
      <c r="L88" s="286"/>
      <c r="M88" s="296"/>
      <c r="N88" s="296"/>
      <c r="O88" s="296"/>
      <c r="P88" s="296"/>
      <c r="Q88" s="296"/>
      <c r="R88" s="296"/>
      <c r="S88" s="296"/>
      <c r="T88" s="296"/>
      <c r="U88" s="286"/>
      <c r="V88" s="295"/>
      <c r="W88" s="234"/>
      <c r="X88" s="236"/>
      <c r="Y88" s="286"/>
      <c r="Z88" s="286"/>
      <c r="AA88" s="286"/>
    </row>
    <row r="89" spans="1:27" x14ac:dyDescent="0.35">
      <c r="A89" s="286"/>
      <c r="B89" s="286"/>
      <c r="C89" s="286"/>
      <c r="D89" s="286"/>
      <c r="E89" s="286"/>
      <c r="F89" s="286"/>
      <c r="G89" s="286"/>
      <c r="H89" s="286"/>
      <c r="I89" s="286"/>
      <c r="J89" s="286"/>
      <c r="K89" s="288"/>
      <c r="L89" s="286"/>
      <c r="M89" s="296"/>
      <c r="N89" s="296"/>
      <c r="O89" s="296"/>
      <c r="P89" s="296"/>
      <c r="Q89" s="296"/>
      <c r="R89" s="296"/>
      <c r="S89" s="296"/>
      <c r="T89" s="296"/>
      <c r="U89" s="286"/>
      <c r="V89" s="295"/>
      <c r="W89" s="234"/>
      <c r="X89" s="236"/>
      <c r="Y89" s="286"/>
      <c r="Z89" s="286"/>
      <c r="AA89" s="286"/>
    </row>
    <row r="90" spans="1:27" x14ac:dyDescent="0.35">
      <c r="A90" s="286"/>
      <c r="B90" s="286"/>
      <c r="C90" s="286"/>
      <c r="D90" s="286"/>
      <c r="E90" s="286"/>
      <c r="F90" s="286"/>
      <c r="G90" s="286"/>
      <c r="H90" s="286"/>
      <c r="I90" s="286"/>
      <c r="J90" s="286"/>
      <c r="K90" s="288"/>
      <c r="L90" s="286"/>
      <c r="M90" s="296"/>
      <c r="N90" s="296"/>
      <c r="O90" s="296"/>
      <c r="P90" s="296"/>
      <c r="Q90" s="296"/>
      <c r="R90" s="296"/>
      <c r="S90" s="296"/>
      <c r="T90" s="296"/>
      <c r="U90" s="286"/>
      <c r="V90" s="295"/>
      <c r="W90" s="234"/>
      <c r="X90" s="236"/>
      <c r="Y90" s="286"/>
      <c r="Z90" s="286"/>
      <c r="AA90" s="286"/>
    </row>
    <row r="91" spans="1:27" x14ac:dyDescent="0.35">
      <c r="A91" s="286"/>
      <c r="B91" s="286"/>
      <c r="C91" s="286"/>
      <c r="D91" s="286"/>
      <c r="E91" s="286"/>
      <c r="F91" s="286"/>
      <c r="G91" s="286"/>
      <c r="H91" s="286"/>
      <c r="I91" s="286"/>
      <c r="J91" s="286"/>
      <c r="K91" s="288"/>
      <c r="L91" s="286"/>
      <c r="M91" s="296"/>
      <c r="N91" s="296"/>
      <c r="O91" s="296"/>
      <c r="P91" s="296"/>
      <c r="Q91" s="296"/>
      <c r="R91" s="296"/>
      <c r="S91" s="296"/>
      <c r="T91" s="296"/>
      <c r="U91" s="286"/>
      <c r="V91" s="295"/>
      <c r="W91" s="234"/>
      <c r="X91" s="236"/>
      <c r="Y91" s="286"/>
      <c r="Z91" s="286"/>
      <c r="AA91" s="286"/>
    </row>
    <row r="92" spans="1:27" x14ac:dyDescent="0.35">
      <c r="A92" s="286"/>
      <c r="B92" s="286"/>
      <c r="C92" s="286"/>
      <c r="D92" s="286"/>
      <c r="E92" s="286"/>
      <c r="F92" s="286"/>
      <c r="G92" s="286"/>
      <c r="H92" s="286"/>
      <c r="I92" s="286"/>
      <c r="J92" s="286"/>
      <c r="K92" s="288"/>
      <c r="L92" s="286"/>
      <c r="M92" s="296"/>
      <c r="N92" s="296"/>
      <c r="O92" s="296"/>
      <c r="P92" s="296"/>
      <c r="Q92" s="296"/>
      <c r="R92" s="296"/>
      <c r="S92" s="296"/>
      <c r="T92" s="296"/>
      <c r="U92" s="286"/>
      <c r="V92" s="295"/>
      <c r="W92" s="234"/>
      <c r="X92" s="236"/>
      <c r="Y92" s="286"/>
      <c r="Z92" s="286"/>
      <c r="AA92" s="286"/>
    </row>
    <row r="93" spans="1:27" x14ac:dyDescent="0.35">
      <c r="A93" s="286"/>
      <c r="B93" s="286"/>
      <c r="C93" s="286"/>
      <c r="D93" s="286"/>
      <c r="E93" s="286"/>
      <c r="F93" s="286"/>
      <c r="G93" s="286"/>
      <c r="H93" s="286"/>
      <c r="I93" s="286"/>
      <c r="J93" s="286"/>
      <c r="K93" s="288"/>
      <c r="L93" s="286"/>
      <c r="M93" s="296"/>
      <c r="N93" s="296"/>
      <c r="O93" s="296"/>
      <c r="P93" s="296"/>
      <c r="Q93" s="296"/>
      <c r="R93" s="296"/>
      <c r="S93" s="296"/>
      <c r="T93" s="296"/>
      <c r="U93" s="286"/>
      <c r="V93" s="295"/>
      <c r="W93" s="234"/>
      <c r="X93" s="236"/>
      <c r="Y93" s="286"/>
      <c r="Z93" s="286"/>
      <c r="AA93" s="286"/>
    </row>
    <row r="94" spans="1:27" x14ac:dyDescent="0.35">
      <c r="A94" s="286"/>
      <c r="B94" s="286"/>
      <c r="C94" s="286"/>
      <c r="D94" s="286"/>
      <c r="E94" s="286"/>
      <c r="F94" s="286"/>
      <c r="G94" s="286"/>
      <c r="H94" s="286"/>
      <c r="I94" s="286"/>
      <c r="J94" s="286"/>
      <c r="K94" s="288"/>
      <c r="L94" s="286"/>
      <c r="M94" s="296"/>
      <c r="N94" s="296"/>
      <c r="O94" s="296"/>
      <c r="P94" s="296"/>
      <c r="Q94" s="296"/>
      <c r="R94" s="296"/>
      <c r="S94" s="296"/>
      <c r="T94" s="296"/>
      <c r="U94" s="286"/>
      <c r="V94" s="295"/>
      <c r="W94" s="234"/>
      <c r="X94" s="236"/>
      <c r="Y94" s="286"/>
      <c r="Z94" s="286"/>
      <c r="AA94" s="286"/>
    </row>
    <row r="95" spans="1:27" x14ac:dyDescent="0.35">
      <c r="A95" s="286"/>
      <c r="B95" s="286"/>
      <c r="C95" s="286"/>
      <c r="D95" s="286"/>
      <c r="E95" s="286"/>
      <c r="F95" s="286"/>
      <c r="G95" s="286"/>
      <c r="H95" s="286"/>
      <c r="I95" s="286"/>
      <c r="J95" s="286"/>
      <c r="K95" s="288"/>
      <c r="L95" s="286"/>
      <c r="M95" s="296"/>
      <c r="N95" s="296"/>
      <c r="O95" s="296"/>
      <c r="P95" s="296"/>
      <c r="Q95" s="296"/>
      <c r="R95" s="296"/>
      <c r="S95" s="296"/>
      <c r="T95" s="296"/>
      <c r="U95" s="286"/>
      <c r="V95" s="295"/>
      <c r="W95" s="234"/>
      <c r="X95" s="236"/>
      <c r="Y95" s="286"/>
      <c r="Z95" s="286"/>
      <c r="AA95" s="286"/>
    </row>
    <row r="96" spans="1:27" x14ac:dyDescent="0.35">
      <c r="A96" s="286"/>
      <c r="B96" s="286"/>
      <c r="C96" s="286"/>
      <c r="D96" s="286"/>
      <c r="E96" s="286"/>
      <c r="F96" s="286"/>
      <c r="G96" s="286"/>
      <c r="H96" s="286"/>
      <c r="I96" s="286"/>
      <c r="J96" s="286"/>
      <c r="K96" s="288"/>
      <c r="L96" s="286"/>
      <c r="M96" s="296"/>
      <c r="N96" s="296"/>
      <c r="O96" s="296"/>
      <c r="P96" s="296"/>
      <c r="Q96" s="296"/>
      <c r="R96" s="296"/>
      <c r="S96" s="296"/>
      <c r="T96" s="296"/>
      <c r="U96" s="286"/>
      <c r="V96" s="295"/>
      <c r="W96" s="234"/>
      <c r="X96" s="236"/>
      <c r="Y96" s="286"/>
      <c r="Z96" s="286"/>
      <c r="AA96" s="286"/>
    </row>
    <row r="97" spans="1:27" x14ac:dyDescent="0.35">
      <c r="A97" s="286"/>
      <c r="B97" s="286"/>
      <c r="C97" s="286"/>
      <c r="D97" s="286"/>
      <c r="E97" s="286"/>
      <c r="F97" s="286"/>
      <c r="G97" s="286"/>
      <c r="H97" s="286"/>
      <c r="I97" s="286"/>
      <c r="J97" s="286"/>
      <c r="K97" s="288"/>
      <c r="L97" s="286"/>
      <c r="M97" s="296"/>
      <c r="N97" s="296"/>
      <c r="O97" s="296"/>
      <c r="P97" s="296"/>
      <c r="Q97" s="296"/>
      <c r="R97" s="296"/>
      <c r="S97" s="296"/>
      <c r="T97" s="296"/>
      <c r="U97" s="286"/>
      <c r="V97" s="295"/>
      <c r="W97" s="234"/>
      <c r="X97" s="236"/>
      <c r="Y97" s="286"/>
      <c r="Z97" s="286"/>
      <c r="AA97" s="286"/>
    </row>
    <row r="98" spans="1:27" x14ac:dyDescent="0.35">
      <c r="A98" s="286"/>
      <c r="B98" s="286"/>
      <c r="C98" s="286"/>
      <c r="D98" s="286"/>
      <c r="E98" s="286"/>
      <c r="F98" s="286"/>
      <c r="G98" s="286"/>
      <c r="H98" s="286"/>
      <c r="I98" s="286"/>
      <c r="J98" s="286"/>
      <c r="K98" s="288"/>
      <c r="L98" s="286"/>
      <c r="M98" s="296"/>
      <c r="N98" s="296"/>
      <c r="O98" s="296"/>
      <c r="P98" s="296"/>
      <c r="Q98" s="296"/>
      <c r="R98" s="296"/>
      <c r="S98" s="296"/>
      <c r="T98" s="296"/>
      <c r="U98" s="286"/>
      <c r="V98" s="295"/>
      <c r="W98" s="234"/>
      <c r="X98" s="236"/>
      <c r="Y98" s="286"/>
      <c r="Z98" s="286"/>
      <c r="AA98" s="286"/>
    </row>
    <row r="99" spans="1:27" x14ac:dyDescent="0.35">
      <c r="A99" s="286"/>
      <c r="B99" s="286"/>
      <c r="C99" s="286"/>
      <c r="D99" s="286"/>
      <c r="E99" s="286"/>
      <c r="F99" s="286"/>
      <c r="G99" s="286"/>
      <c r="H99" s="286"/>
      <c r="I99" s="286"/>
      <c r="J99" s="286"/>
      <c r="K99" s="288"/>
      <c r="L99" s="286"/>
      <c r="M99" s="296"/>
      <c r="N99" s="296"/>
      <c r="O99" s="296"/>
      <c r="P99" s="296"/>
      <c r="Q99" s="296"/>
      <c r="R99" s="296"/>
      <c r="S99" s="296"/>
      <c r="T99" s="296"/>
      <c r="U99" s="286"/>
      <c r="V99" s="295"/>
      <c r="W99" s="234"/>
      <c r="X99" s="236"/>
      <c r="Y99" s="286"/>
      <c r="Z99" s="286"/>
      <c r="AA99" s="286"/>
    </row>
    <row r="100" spans="1:27" x14ac:dyDescent="0.35">
      <c r="A100" s="286"/>
      <c r="B100" s="286"/>
      <c r="C100" s="286"/>
      <c r="D100" s="286"/>
      <c r="E100" s="286"/>
      <c r="F100" s="286"/>
      <c r="G100" s="286"/>
      <c r="H100" s="286"/>
      <c r="I100" s="286"/>
      <c r="J100" s="286"/>
      <c r="K100" s="288"/>
      <c r="L100" s="286"/>
      <c r="M100" s="296"/>
      <c r="N100" s="296"/>
      <c r="O100" s="296"/>
      <c r="P100" s="296"/>
      <c r="Q100" s="296"/>
      <c r="R100" s="296"/>
      <c r="S100" s="296"/>
      <c r="T100" s="296"/>
      <c r="U100" s="286"/>
      <c r="V100" s="295"/>
      <c r="W100" s="234"/>
      <c r="X100" s="236"/>
      <c r="Y100" s="286"/>
      <c r="Z100" s="286"/>
      <c r="AA100" s="286"/>
    </row>
    <row r="101" spans="1:27" x14ac:dyDescent="0.35">
      <c r="A101" s="286"/>
      <c r="B101" s="286"/>
      <c r="C101" s="286"/>
      <c r="D101" s="286"/>
      <c r="E101" s="286"/>
      <c r="F101" s="286"/>
      <c r="G101" s="286"/>
      <c r="H101" s="286"/>
      <c r="I101" s="286"/>
      <c r="J101" s="286"/>
      <c r="K101" s="288"/>
      <c r="L101" s="286"/>
      <c r="M101" s="296"/>
      <c r="N101" s="296"/>
      <c r="O101" s="296"/>
      <c r="P101" s="296"/>
      <c r="Q101" s="296"/>
      <c r="R101" s="296"/>
      <c r="S101" s="296"/>
      <c r="T101" s="296"/>
      <c r="U101" s="286"/>
      <c r="V101" s="295"/>
      <c r="W101" s="234"/>
      <c r="X101" s="236"/>
      <c r="Y101" s="286"/>
      <c r="Z101" s="286"/>
      <c r="AA101" s="286"/>
    </row>
    <row r="102" spans="1:27" x14ac:dyDescent="0.35">
      <c r="A102" s="286"/>
      <c r="B102" s="286"/>
      <c r="C102" s="286"/>
      <c r="D102" s="286"/>
      <c r="E102" s="286"/>
      <c r="F102" s="286"/>
      <c r="G102" s="286"/>
      <c r="H102" s="286"/>
      <c r="I102" s="286"/>
      <c r="J102" s="286"/>
      <c r="K102" s="288"/>
      <c r="L102" s="286"/>
      <c r="M102" s="296"/>
      <c r="N102" s="296"/>
      <c r="O102" s="296"/>
      <c r="P102" s="296"/>
      <c r="Q102" s="296"/>
      <c r="R102" s="296"/>
      <c r="S102" s="296"/>
      <c r="T102" s="296"/>
      <c r="U102" s="286"/>
      <c r="V102" s="295"/>
      <c r="W102" s="234"/>
      <c r="X102" s="236"/>
      <c r="Y102" s="286"/>
      <c r="Z102" s="286"/>
      <c r="AA102" s="286"/>
    </row>
    <row r="103" spans="1:27" x14ac:dyDescent="0.35">
      <c r="A103" s="286"/>
      <c r="B103" s="286"/>
      <c r="C103" s="286"/>
      <c r="D103" s="286"/>
      <c r="E103" s="286"/>
      <c r="F103" s="286"/>
      <c r="G103" s="286"/>
      <c r="H103" s="286"/>
      <c r="I103" s="286"/>
      <c r="J103" s="286"/>
      <c r="K103" s="288"/>
      <c r="L103" s="286"/>
      <c r="M103" s="296"/>
      <c r="N103" s="296"/>
      <c r="O103" s="296"/>
      <c r="P103" s="296"/>
      <c r="Q103" s="296"/>
      <c r="R103" s="296"/>
      <c r="S103" s="296"/>
      <c r="T103" s="296"/>
      <c r="U103" s="286"/>
      <c r="V103" s="295"/>
      <c r="W103" s="234"/>
      <c r="X103" s="236"/>
      <c r="Y103" s="286"/>
      <c r="Z103" s="286"/>
      <c r="AA103" s="286"/>
    </row>
    <row r="104" spans="1:27" x14ac:dyDescent="0.35">
      <c r="A104" s="286"/>
      <c r="B104" s="286"/>
      <c r="C104" s="286"/>
      <c r="D104" s="286"/>
      <c r="E104" s="286"/>
      <c r="F104" s="286"/>
      <c r="G104" s="286"/>
      <c r="H104" s="286"/>
      <c r="I104" s="286"/>
      <c r="J104" s="286"/>
      <c r="K104" s="288"/>
      <c r="L104" s="286"/>
      <c r="M104" s="296"/>
      <c r="N104" s="296"/>
      <c r="O104" s="296"/>
      <c r="P104" s="296"/>
      <c r="Q104" s="296"/>
      <c r="R104" s="296"/>
      <c r="S104" s="296"/>
      <c r="T104" s="296"/>
      <c r="U104" s="286"/>
      <c r="V104" s="295"/>
      <c r="W104" s="234"/>
      <c r="X104" s="236"/>
      <c r="Y104" s="286"/>
      <c r="Z104" s="286"/>
      <c r="AA104" s="286"/>
    </row>
    <row r="105" spans="1:27" x14ac:dyDescent="0.35">
      <c r="A105" s="286"/>
      <c r="B105" s="286"/>
      <c r="C105" s="286"/>
      <c r="D105" s="286"/>
      <c r="E105" s="286"/>
      <c r="F105" s="286"/>
      <c r="G105" s="286"/>
      <c r="H105" s="286"/>
      <c r="I105" s="286"/>
      <c r="J105" s="286"/>
      <c r="K105" s="288"/>
      <c r="L105" s="286"/>
      <c r="M105" s="296"/>
      <c r="N105" s="296"/>
      <c r="O105" s="296"/>
      <c r="P105" s="296"/>
      <c r="Q105" s="296"/>
      <c r="R105" s="296"/>
      <c r="S105" s="296"/>
      <c r="T105" s="296"/>
      <c r="U105" s="286"/>
      <c r="V105" s="295"/>
      <c r="W105" s="234"/>
      <c r="X105" s="236"/>
      <c r="Y105" s="286"/>
      <c r="Z105" s="286"/>
      <c r="AA105" s="286"/>
    </row>
    <row r="106" spans="1:27" x14ac:dyDescent="0.35">
      <c r="A106" s="286"/>
      <c r="B106" s="286"/>
      <c r="C106" s="286"/>
      <c r="D106" s="286"/>
      <c r="E106" s="286"/>
      <c r="F106" s="286"/>
      <c r="G106" s="286"/>
      <c r="H106" s="286"/>
      <c r="I106" s="286"/>
      <c r="J106" s="286"/>
      <c r="K106" s="288"/>
      <c r="L106" s="286"/>
      <c r="M106" s="296"/>
      <c r="N106" s="296"/>
      <c r="O106" s="296"/>
      <c r="P106" s="296"/>
      <c r="Q106" s="296"/>
      <c r="R106" s="296"/>
      <c r="S106" s="296"/>
      <c r="T106" s="296"/>
      <c r="U106" s="286"/>
      <c r="V106" s="295"/>
      <c r="W106" s="234"/>
      <c r="X106" s="236"/>
      <c r="Y106" s="286"/>
      <c r="Z106" s="286"/>
      <c r="AA106" s="286"/>
    </row>
    <row r="107" spans="1:27" x14ac:dyDescent="0.35">
      <c r="A107" s="286"/>
      <c r="B107" s="286"/>
      <c r="C107" s="286"/>
      <c r="D107" s="286"/>
      <c r="E107" s="286"/>
      <c r="F107" s="286"/>
      <c r="G107" s="286"/>
      <c r="H107" s="286"/>
      <c r="I107" s="286"/>
      <c r="J107" s="286"/>
      <c r="K107" s="288"/>
      <c r="L107" s="286"/>
      <c r="M107" s="296"/>
      <c r="N107" s="296"/>
      <c r="O107" s="296"/>
      <c r="P107" s="296"/>
      <c r="Q107" s="296"/>
      <c r="R107" s="296"/>
      <c r="S107" s="296"/>
      <c r="T107" s="296"/>
      <c r="U107" s="286"/>
      <c r="V107" s="295"/>
      <c r="W107" s="234"/>
      <c r="X107" s="236"/>
      <c r="Y107" s="286"/>
      <c r="Z107" s="286"/>
      <c r="AA107" s="286"/>
    </row>
    <row r="108" spans="1:27" x14ac:dyDescent="0.35">
      <c r="A108" s="286"/>
      <c r="B108" s="286"/>
      <c r="C108" s="286"/>
      <c r="D108" s="286"/>
      <c r="E108" s="286"/>
      <c r="F108" s="286"/>
      <c r="G108" s="286"/>
      <c r="H108" s="286"/>
      <c r="I108" s="286"/>
      <c r="J108" s="286"/>
      <c r="K108" s="288"/>
      <c r="L108" s="286"/>
      <c r="M108" s="296"/>
      <c r="N108" s="296"/>
      <c r="O108" s="296"/>
      <c r="P108" s="296"/>
      <c r="Q108" s="296"/>
      <c r="R108" s="296"/>
      <c r="S108" s="296"/>
      <c r="T108" s="296"/>
      <c r="U108" s="286"/>
      <c r="V108" s="295"/>
      <c r="W108" s="234"/>
      <c r="X108" s="236"/>
      <c r="Y108" s="286"/>
      <c r="Z108" s="286"/>
      <c r="AA108" s="286"/>
    </row>
    <row r="109" spans="1:27" x14ac:dyDescent="0.35">
      <c r="A109" s="286"/>
      <c r="B109" s="286"/>
      <c r="C109" s="286"/>
      <c r="D109" s="286"/>
      <c r="E109" s="286"/>
      <c r="F109" s="286"/>
      <c r="G109" s="286"/>
      <c r="H109" s="286"/>
      <c r="I109" s="286"/>
      <c r="J109" s="286"/>
      <c r="K109" s="288"/>
      <c r="L109" s="286"/>
      <c r="M109" s="296"/>
      <c r="N109" s="296"/>
      <c r="O109" s="296"/>
      <c r="P109" s="296"/>
      <c r="Q109" s="296"/>
      <c r="R109" s="296"/>
      <c r="S109" s="296"/>
      <c r="T109" s="296"/>
      <c r="U109" s="286"/>
      <c r="V109" s="295"/>
      <c r="W109" s="234"/>
      <c r="X109" s="236"/>
      <c r="Y109" s="286"/>
      <c r="Z109" s="286"/>
      <c r="AA109" s="286"/>
    </row>
    <row r="110" spans="1:27" x14ac:dyDescent="0.35">
      <c r="A110" s="286"/>
      <c r="B110" s="286"/>
      <c r="C110" s="286"/>
      <c r="D110" s="286"/>
      <c r="E110" s="286"/>
      <c r="F110" s="286"/>
      <c r="G110" s="286"/>
      <c r="H110" s="286"/>
      <c r="I110" s="286"/>
      <c r="J110" s="286"/>
      <c r="K110" s="288"/>
      <c r="L110" s="286"/>
      <c r="M110" s="296"/>
      <c r="N110" s="296"/>
      <c r="O110" s="296"/>
      <c r="P110" s="296"/>
      <c r="Q110" s="296"/>
      <c r="R110" s="296"/>
      <c r="S110" s="296"/>
      <c r="T110" s="296"/>
      <c r="U110" s="286"/>
      <c r="V110" s="295"/>
      <c r="W110" s="234"/>
      <c r="X110" s="236"/>
      <c r="Y110" s="286"/>
      <c r="Z110" s="286"/>
      <c r="AA110" s="286"/>
    </row>
    <row r="111" spans="1:27" x14ac:dyDescent="0.35">
      <c r="A111" s="286"/>
      <c r="B111" s="286"/>
      <c r="C111" s="286"/>
      <c r="D111" s="286"/>
      <c r="E111" s="286"/>
      <c r="F111" s="286"/>
      <c r="G111" s="286"/>
      <c r="H111" s="286"/>
      <c r="I111" s="286"/>
      <c r="J111" s="286"/>
      <c r="K111" s="288"/>
      <c r="L111" s="286"/>
      <c r="M111" s="296"/>
      <c r="N111" s="296"/>
      <c r="O111" s="296"/>
      <c r="P111" s="296"/>
      <c r="Q111" s="296"/>
      <c r="R111" s="296"/>
      <c r="S111" s="296"/>
      <c r="T111" s="296"/>
      <c r="U111" s="286"/>
      <c r="V111" s="295"/>
      <c r="W111" s="234"/>
      <c r="X111" s="236"/>
      <c r="Y111" s="286"/>
      <c r="Z111" s="286"/>
      <c r="AA111" s="286"/>
    </row>
    <row r="112" spans="1:27" x14ac:dyDescent="0.35">
      <c r="A112" s="286"/>
      <c r="B112" s="286"/>
      <c r="C112" s="286"/>
      <c r="D112" s="286"/>
      <c r="E112" s="286"/>
      <c r="F112" s="286"/>
      <c r="G112" s="286"/>
      <c r="H112" s="286"/>
      <c r="I112" s="286"/>
      <c r="J112" s="286"/>
      <c r="K112" s="288"/>
      <c r="L112" s="286"/>
      <c r="M112" s="296"/>
      <c r="N112" s="296"/>
      <c r="O112" s="296"/>
      <c r="P112" s="296"/>
      <c r="Q112" s="296"/>
      <c r="R112" s="296"/>
      <c r="S112" s="296"/>
      <c r="T112" s="296"/>
      <c r="U112" s="286"/>
      <c r="V112" s="295"/>
      <c r="W112" s="234"/>
      <c r="X112" s="236"/>
      <c r="Y112" s="286"/>
      <c r="Z112" s="286"/>
      <c r="AA112" s="286"/>
    </row>
    <row r="113" spans="1:27" x14ac:dyDescent="0.35">
      <c r="A113" s="286"/>
      <c r="B113" s="286"/>
      <c r="C113" s="286"/>
      <c r="D113" s="286"/>
      <c r="E113" s="286"/>
      <c r="F113" s="286"/>
      <c r="G113" s="286"/>
      <c r="H113" s="286"/>
      <c r="I113" s="286"/>
      <c r="J113" s="286"/>
      <c r="K113" s="288"/>
      <c r="L113" s="286"/>
      <c r="M113" s="296"/>
      <c r="N113" s="296"/>
      <c r="O113" s="296"/>
      <c r="P113" s="296"/>
      <c r="Q113" s="296"/>
      <c r="R113" s="296"/>
      <c r="S113" s="296"/>
      <c r="T113" s="296"/>
      <c r="U113" s="286"/>
      <c r="V113" s="295"/>
      <c r="W113" s="234"/>
      <c r="X113" s="236"/>
      <c r="Y113" s="286"/>
      <c r="Z113" s="286"/>
      <c r="AA113" s="286"/>
    </row>
    <row r="114" spans="1:27" x14ac:dyDescent="0.35">
      <c r="A114" s="286"/>
      <c r="B114" s="286"/>
      <c r="C114" s="286"/>
      <c r="D114" s="286"/>
      <c r="E114" s="286"/>
      <c r="F114" s="286"/>
      <c r="G114" s="286"/>
      <c r="H114" s="286"/>
      <c r="I114" s="286"/>
      <c r="J114" s="286"/>
      <c r="K114" s="288"/>
      <c r="L114" s="286"/>
      <c r="M114" s="296"/>
      <c r="N114" s="296"/>
      <c r="O114" s="296"/>
      <c r="P114" s="296"/>
      <c r="Q114" s="296"/>
      <c r="R114" s="296"/>
      <c r="S114" s="296"/>
      <c r="T114" s="296"/>
      <c r="U114" s="286"/>
      <c r="V114" s="295"/>
      <c r="W114" s="234"/>
      <c r="X114" s="236"/>
      <c r="Y114" s="286"/>
      <c r="Z114" s="286"/>
      <c r="AA114" s="286"/>
    </row>
    <row r="115" spans="1:27" x14ac:dyDescent="0.35">
      <c r="A115" s="286"/>
      <c r="B115" s="286"/>
      <c r="C115" s="286"/>
      <c r="D115" s="286"/>
      <c r="E115" s="286"/>
      <c r="F115" s="286"/>
      <c r="G115" s="286"/>
      <c r="H115" s="286"/>
      <c r="I115" s="286"/>
      <c r="J115" s="286"/>
      <c r="K115" s="288"/>
      <c r="L115" s="286"/>
      <c r="M115" s="296"/>
      <c r="N115" s="296"/>
      <c r="O115" s="296"/>
      <c r="P115" s="296"/>
      <c r="Q115" s="296"/>
      <c r="R115" s="296"/>
      <c r="S115" s="296"/>
      <c r="T115" s="296"/>
      <c r="U115" s="286"/>
      <c r="V115" s="295"/>
      <c r="W115" s="234"/>
      <c r="X115" s="236"/>
      <c r="Y115" s="286"/>
      <c r="Z115" s="286"/>
      <c r="AA115" s="286"/>
    </row>
    <row r="116" spans="1:27" x14ac:dyDescent="0.35">
      <c r="A116" s="286"/>
      <c r="B116" s="286"/>
      <c r="C116" s="286"/>
      <c r="D116" s="286"/>
      <c r="E116" s="286"/>
      <c r="F116" s="286"/>
      <c r="G116" s="286"/>
      <c r="H116" s="286"/>
      <c r="I116" s="286"/>
      <c r="J116" s="286"/>
      <c r="K116" s="288"/>
      <c r="L116" s="286"/>
      <c r="M116" s="296"/>
      <c r="N116" s="296"/>
      <c r="O116" s="296"/>
      <c r="P116" s="296"/>
      <c r="Q116" s="296"/>
      <c r="R116" s="296"/>
      <c r="S116" s="296"/>
      <c r="T116" s="296"/>
      <c r="U116" s="286"/>
      <c r="V116" s="295"/>
      <c r="W116" s="234"/>
      <c r="X116" s="236"/>
      <c r="Y116" s="286"/>
      <c r="Z116" s="286"/>
      <c r="AA116" s="286"/>
    </row>
    <row r="117" spans="1:27" x14ac:dyDescent="0.35">
      <c r="A117" s="286"/>
      <c r="B117" s="286"/>
      <c r="C117" s="286"/>
      <c r="D117" s="286"/>
      <c r="E117" s="286"/>
      <c r="F117" s="286"/>
      <c r="G117" s="286"/>
      <c r="H117" s="286"/>
      <c r="I117" s="286"/>
      <c r="J117" s="286"/>
      <c r="K117" s="288"/>
      <c r="L117" s="286"/>
      <c r="M117" s="296"/>
      <c r="N117" s="296"/>
      <c r="O117" s="296"/>
      <c r="P117" s="296"/>
      <c r="Q117" s="296"/>
      <c r="R117" s="296"/>
      <c r="S117" s="296"/>
      <c r="T117" s="296"/>
      <c r="U117" s="286"/>
      <c r="V117" s="295"/>
      <c r="W117" s="234"/>
      <c r="X117" s="236"/>
      <c r="Y117" s="286"/>
      <c r="Z117" s="286"/>
      <c r="AA117" s="286"/>
    </row>
    <row r="118" spans="1:27" x14ac:dyDescent="0.35">
      <c r="K118" s="15"/>
    </row>
    <row r="119" spans="1:27" x14ac:dyDescent="0.35">
      <c r="K119" s="15"/>
    </row>
    <row r="120" spans="1:27" x14ac:dyDescent="0.35">
      <c r="K120" s="15"/>
    </row>
    <row r="121" spans="1:27" x14ac:dyDescent="0.35">
      <c r="K121" s="15"/>
    </row>
  </sheetData>
  <sheetProtection algorithmName="SHA-512" hashValue="gSZA5VG2xUUC8LV7/ntY6F6jqp/PQ6cr2xv4oPisJd4LUYW9QsJlXnTrlRVkfBUTM4NGIp0FKO2dqCWd118nnA==" saltValue="85nbsBeTWxT1MLpyqywLcw==" spinCount="100000" sheet="1" objects="1" scenarios="1" selectLockedCells="1" selectUnlockedCells="1"/>
  <mergeCells count="137">
    <mergeCell ref="S46:T46"/>
    <mergeCell ref="P45:R45"/>
    <mergeCell ref="P44:R44"/>
    <mergeCell ref="S44:T44"/>
    <mergeCell ref="P64:R64"/>
    <mergeCell ref="P65:R65"/>
    <mergeCell ref="S65:T65"/>
    <mergeCell ref="P60:R60"/>
    <mergeCell ref="S60:T60"/>
    <mergeCell ref="P61:R61"/>
    <mergeCell ref="S62:T62"/>
    <mergeCell ref="P63:R63"/>
    <mergeCell ref="S63:T63"/>
    <mergeCell ref="S42:T42"/>
    <mergeCell ref="P43:R43"/>
    <mergeCell ref="S43:T43"/>
    <mergeCell ref="P24:R24"/>
    <mergeCell ref="M56:T57"/>
    <mergeCell ref="M58:M59"/>
    <mergeCell ref="N58:N59"/>
    <mergeCell ref="O58:O59"/>
    <mergeCell ref="P58:P59"/>
    <mergeCell ref="Q58:Q59"/>
    <mergeCell ref="R58:R59"/>
    <mergeCell ref="S58:T59"/>
    <mergeCell ref="P25:R25"/>
    <mergeCell ref="M52:T53"/>
    <mergeCell ref="M54:Q54"/>
    <mergeCell ref="R54:T54"/>
    <mergeCell ref="M55:Q55"/>
    <mergeCell ref="R55:T55"/>
    <mergeCell ref="P47:R47"/>
    <mergeCell ref="P48:R48"/>
    <mergeCell ref="S48:T48"/>
    <mergeCell ref="M50:Q50"/>
    <mergeCell ref="R50:T50"/>
    <mergeCell ref="P46:R46"/>
    <mergeCell ref="A26:B26"/>
    <mergeCell ref="D26:F26"/>
    <mergeCell ref="G26:H26"/>
    <mergeCell ref="M30:Q30"/>
    <mergeCell ref="R30:T30"/>
    <mergeCell ref="R8:R9"/>
    <mergeCell ref="S8:T9"/>
    <mergeCell ref="S10:T10"/>
    <mergeCell ref="S11:T11"/>
    <mergeCell ref="S12:T12"/>
    <mergeCell ref="P13:R13"/>
    <mergeCell ref="S13:T13"/>
    <mergeCell ref="P14:R14"/>
    <mergeCell ref="P15:R15"/>
    <mergeCell ref="S15:T15"/>
    <mergeCell ref="P19:R19"/>
    <mergeCell ref="S19:T19"/>
    <mergeCell ref="P21:R21"/>
    <mergeCell ref="S21:T21"/>
    <mergeCell ref="P22:R22"/>
    <mergeCell ref="P23:R23"/>
    <mergeCell ref="S23:T23"/>
    <mergeCell ref="S25:T25"/>
    <mergeCell ref="G22:H22"/>
    <mergeCell ref="M40:N40"/>
    <mergeCell ref="P40:R40"/>
    <mergeCell ref="S40:T40"/>
    <mergeCell ref="S37:T37"/>
    <mergeCell ref="Q38:R38"/>
    <mergeCell ref="S38:T38"/>
    <mergeCell ref="D38:F38"/>
    <mergeCell ref="G38:H38"/>
    <mergeCell ref="P27:R27"/>
    <mergeCell ref="M32:T33"/>
    <mergeCell ref="G29:H29"/>
    <mergeCell ref="D30:F30"/>
    <mergeCell ref="G30:H30"/>
    <mergeCell ref="M28:T29"/>
    <mergeCell ref="P41:R41"/>
    <mergeCell ref="P42:R42"/>
    <mergeCell ref="D27:F27"/>
    <mergeCell ref="M31:Q31"/>
    <mergeCell ref="R31:T31"/>
    <mergeCell ref="D28:F28"/>
    <mergeCell ref="G28:H28"/>
    <mergeCell ref="D31:F31"/>
    <mergeCell ref="D32:F32"/>
    <mergeCell ref="G32:H32"/>
    <mergeCell ref="D33:F33"/>
    <mergeCell ref="G33:H33"/>
    <mergeCell ref="S34:T34"/>
    <mergeCell ref="S35:T35"/>
    <mergeCell ref="S36:T36"/>
    <mergeCell ref="D34:F34"/>
    <mergeCell ref="G34:H34"/>
    <mergeCell ref="D35:F35"/>
    <mergeCell ref="A39:E39"/>
    <mergeCell ref="F39:H39"/>
    <mergeCell ref="D36:F36"/>
    <mergeCell ref="G36:H36"/>
    <mergeCell ref="D37:F37"/>
    <mergeCell ref="D29:F29"/>
    <mergeCell ref="A6:E6"/>
    <mergeCell ref="F6:H6"/>
    <mergeCell ref="M6:T7"/>
    <mergeCell ref="G20:H20"/>
    <mergeCell ref="G21:H21"/>
    <mergeCell ref="A18:H18"/>
    <mergeCell ref="G19:H19"/>
    <mergeCell ref="A14:E14"/>
    <mergeCell ref="F14:H14"/>
    <mergeCell ref="A16:H17"/>
    <mergeCell ref="A12:E12"/>
    <mergeCell ref="F12:H12"/>
    <mergeCell ref="A13:E13"/>
    <mergeCell ref="F13:H13"/>
    <mergeCell ref="G23:H23"/>
    <mergeCell ref="P17:R17"/>
    <mergeCell ref="S17:T17"/>
    <mergeCell ref="G24:H24"/>
    <mergeCell ref="P18:R18"/>
    <mergeCell ref="A1:H2"/>
    <mergeCell ref="M1:T2"/>
    <mergeCell ref="A3:H3"/>
    <mergeCell ref="M3:T3"/>
    <mergeCell ref="A4:E4"/>
    <mergeCell ref="F4:H4"/>
    <mergeCell ref="M4:Q4"/>
    <mergeCell ref="R4:T4"/>
    <mergeCell ref="A8:H9"/>
    <mergeCell ref="M8:M9"/>
    <mergeCell ref="N8:N9"/>
    <mergeCell ref="O8:O9"/>
    <mergeCell ref="P8:P9"/>
    <mergeCell ref="Q8:Q9"/>
    <mergeCell ref="A10:H11"/>
    <mergeCell ref="A5:E5"/>
    <mergeCell ref="F5:H5"/>
    <mergeCell ref="M5:Q5"/>
    <mergeCell ref="R5:T5"/>
  </mergeCells>
  <conditionalFormatting sqref="M27">
    <cfRule type="cellIs" dxfId="17" priority="14" stopIfTrue="1" operator="notEqual">
      <formula>0</formula>
    </cfRule>
  </conditionalFormatting>
  <conditionalFormatting sqref="A37 A31">
    <cfRule type="cellIs" dxfId="16" priority="12" stopIfTrue="1" operator="notEqual">
      <formula>0</formula>
    </cfRule>
  </conditionalFormatting>
  <conditionalFormatting sqref="E20:E24">
    <cfRule type="cellIs" dxfId="15" priority="11" stopIfTrue="1" operator="greaterThan">
      <formula>0.9</formula>
    </cfRule>
  </conditionalFormatting>
  <conditionalFormatting sqref="M43">
    <cfRule type="cellIs" dxfId="14" priority="8" stopIfTrue="1" operator="notEqual">
      <formula>0</formula>
    </cfRule>
  </conditionalFormatting>
  <conditionalFormatting sqref="M18">
    <cfRule type="cellIs" dxfId="13" priority="6" stopIfTrue="1" operator="notEqual">
      <formula>0</formula>
    </cfRule>
  </conditionalFormatting>
  <conditionalFormatting sqref="M24">
    <cfRule type="cellIs" dxfId="12" priority="5" stopIfTrue="1" operator="notEqual">
      <formula>0</formula>
    </cfRule>
  </conditionalFormatting>
  <conditionalFormatting sqref="Q10:Q12">
    <cfRule type="cellIs" dxfId="11" priority="4" stopIfTrue="1" operator="greaterThan">
      <formula>0.9</formula>
    </cfRule>
  </conditionalFormatting>
  <conditionalFormatting sqref="M66">
    <cfRule type="cellIs" dxfId="10" priority="3" stopIfTrue="1" operator="notEqual">
      <formula>0</formula>
    </cfRule>
  </conditionalFormatting>
  <conditionalFormatting sqref="Q62">
    <cfRule type="cellIs" dxfId="9" priority="2" stopIfTrue="1" operator="greaterThan">
      <formula>0.9</formula>
    </cfRule>
  </conditionalFormatting>
  <conditionalFormatting sqref="Q35:Q37">
    <cfRule type="cellIs" dxfId="8" priority="1" stopIfTrue="1" operator="greaterThan">
      <formula>0.9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>
    <tabColor rgb="FFFFC000"/>
  </sheetPr>
  <dimension ref="A1:BG121"/>
  <sheetViews>
    <sheetView zoomScale="64" zoomScaleNormal="64" workbookViewId="0">
      <selection activeCell="R8" sqref="R8"/>
    </sheetView>
  </sheetViews>
  <sheetFormatPr baseColWidth="10" defaultRowHeight="16" x14ac:dyDescent="0.35"/>
  <cols>
    <col min="1" max="1" width="30.08203125" style="14" customWidth="1"/>
    <col min="2" max="2" width="17.25" style="14" customWidth="1"/>
    <col min="3" max="3" width="12" style="14" bestFit="1" customWidth="1"/>
    <col min="4" max="4" width="21.5" style="14" customWidth="1"/>
    <col min="5" max="5" width="5.75" style="14" customWidth="1"/>
    <col min="6" max="6" width="17.58203125" style="14" customWidth="1"/>
    <col min="7" max="8" width="6" style="14" customWidth="1"/>
    <col min="9" max="11" width="6" style="14" hidden="1" customWidth="1"/>
    <col min="12" max="12" width="6" style="31" customWidth="1"/>
    <col min="13" max="13" width="30" customWidth="1"/>
    <col min="14" max="14" width="14.83203125" customWidth="1"/>
    <col min="15" max="15" width="13.83203125" customWidth="1"/>
    <col min="16" max="16" width="16.83203125" customWidth="1"/>
    <col min="17" max="17" width="10.58203125" customWidth="1"/>
    <col min="18" max="18" width="18" customWidth="1"/>
    <col min="19" max="19" width="9.83203125" customWidth="1"/>
    <col min="20" max="20" width="4.83203125" customWidth="1"/>
    <col min="21" max="21" width="9" style="10" customWidth="1"/>
    <col min="22" max="22" width="57.83203125" style="10" hidden="1" customWidth="1"/>
    <col min="23" max="23" width="5" style="10" hidden="1" customWidth="1"/>
    <col min="24" max="24" width="7.58203125" style="118" hidden="1" customWidth="1"/>
    <col min="25" max="25" width="0" style="10" hidden="1" customWidth="1"/>
    <col min="26" max="27" width="11.25" style="10"/>
    <col min="28" max="59" width="11.25" style="234"/>
  </cols>
  <sheetData>
    <row r="1" spans="1:24" ht="15.65" customHeight="1" x14ac:dyDescent="0.35">
      <c r="A1" s="487" t="s">
        <v>149</v>
      </c>
      <c r="B1" s="488"/>
      <c r="C1" s="488"/>
      <c r="D1" s="488"/>
      <c r="E1" s="488"/>
      <c r="F1" s="488"/>
      <c r="G1" s="488"/>
      <c r="H1" s="489"/>
      <c r="K1" s="15"/>
      <c r="M1" s="491" t="s">
        <v>162</v>
      </c>
      <c r="N1" s="491"/>
      <c r="O1" s="491"/>
      <c r="P1" s="491"/>
      <c r="Q1" s="491"/>
      <c r="R1" s="491"/>
      <c r="S1" s="491"/>
      <c r="T1" s="491"/>
    </row>
    <row r="2" spans="1:24" ht="16.5" thickBot="1" x14ac:dyDescent="0.4">
      <c r="A2" s="490"/>
      <c r="B2" s="491"/>
      <c r="C2" s="491"/>
      <c r="D2" s="491"/>
      <c r="E2" s="491"/>
      <c r="F2" s="491"/>
      <c r="G2" s="491"/>
      <c r="H2" s="492"/>
      <c r="K2" s="15"/>
      <c r="M2" s="491"/>
      <c r="N2" s="491"/>
      <c r="O2" s="491"/>
      <c r="P2" s="491"/>
      <c r="Q2" s="491"/>
      <c r="R2" s="491"/>
      <c r="S2" s="491"/>
      <c r="T2" s="491"/>
      <c r="U2" s="241"/>
    </row>
    <row r="3" spans="1:24" ht="9.65" hidden="1" customHeight="1" thickBot="1" x14ac:dyDescent="0.4">
      <c r="A3" s="737"/>
      <c r="B3" s="738"/>
      <c r="C3" s="738"/>
      <c r="D3" s="738"/>
      <c r="E3" s="738"/>
      <c r="F3" s="738"/>
      <c r="G3" s="738"/>
      <c r="H3" s="739"/>
      <c r="K3" s="15"/>
      <c r="M3" s="778"/>
      <c r="N3" s="778"/>
      <c r="O3" s="778"/>
      <c r="P3" s="778"/>
      <c r="Q3" s="778"/>
      <c r="R3" s="778"/>
      <c r="S3" s="778"/>
      <c r="T3" s="778"/>
      <c r="U3" s="241"/>
    </row>
    <row r="4" spans="1:24" ht="37.15" customHeight="1" thickBot="1" x14ac:dyDescent="0.4">
      <c r="A4" s="513" t="s">
        <v>92</v>
      </c>
      <c r="B4" s="514"/>
      <c r="C4" s="514"/>
      <c r="D4" s="514"/>
      <c r="E4" s="514"/>
      <c r="F4" s="515" t="str">
        <f>IF(CDP!F41&lt;=1.5,"!!!!!!!!!!!",IF(AND(CDP!F41&lt;1.5,LL!B25=50/100*LL!B38),LL!B38,G26+G30+G34))</f>
        <v>!!!!!!!!!!!</v>
      </c>
      <c r="G4" s="516"/>
      <c r="H4" s="517"/>
      <c r="I4" s="16" t="s">
        <v>11</v>
      </c>
      <c r="J4" s="17"/>
      <c r="K4" s="15" t="e">
        <f>G26*30/70</f>
        <v>#VALUE!</v>
      </c>
      <c r="L4" s="33"/>
      <c r="M4" s="807" t="s">
        <v>1</v>
      </c>
      <c r="N4" s="808"/>
      <c r="O4" s="808"/>
      <c r="P4" s="808"/>
      <c r="Q4" s="808"/>
      <c r="R4" s="808"/>
      <c r="S4" s="808"/>
      <c r="T4" s="809"/>
    </row>
    <row r="5" spans="1:24" ht="31.15" customHeight="1" thickBot="1" x14ac:dyDescent="0.4">
      <c r="A5" s="513" t="s">
        <v>95</v>
      </c>
      <c r="B5" s="514"/>
      <c r="C5" s="514"/>
      <c r="D5" s="514"/>
      <c r="E5" s="514"/>
      <c r="F5" s="515" t="str">
        <f>IF(CDP!F41&lt;=1.5,"!!!!!!!!!!!",G38)</f>
        <v>!!!!!!!!!!!</v>
      </c>
      <c r="G5" s="516"/>
      <c r="H5" s="517"/>
      <c r="I5" s="20" t="s">
        <v>24</v>
      </c>
      <c r="J5" s="18"/>
      <c r="K5" s="15">
        <f>B31</f>
        <v>0</v>
      </c>
      <c r="M5" s="513" t="s">
        <v>91</v>
      </c>
      <c r="N5" s="514"/>
      <c r="O5" s="514"/>
      <c r="P5" s="514"/>
      <c r="Q5" s="514"/>
      <c r="R5" s="515" t="e">
        <f>S14+S18+S22</f>
        <v>#VALUE!</v>
      </c>
      <c r="S5" s="516"/>
      <c r="T5" s="517"/>
      <c r="U5" s="267"/>
      <c r="V5" s="10" t="s">
        <v>19</v>
      </c>
      <c r="X5" s="118" t="e">
        <f>S10+S9</f>
        <v>#VALUE!</v>
      </c>
    </row>
    <row r="6" spans="1:24" ht="25.15" customHeight="1" thickBot="1" x14ac:dyDescent="0.4">
      <c r="A6" s="518" t="s">
        <v>97</v>
      </c>
      <c r="B6" s="519"/>
      <c r="C6" s="519"/>
      <c r="D6" s="519"/>
      <c r="E6" s="520"/>
      <c r="F6" s="521" t="str">
        <f>IF(CDP!F41&lt;=1.5,"!!!!!!!!!!!",G28+G32)</f>
        <v>!!!!!!!!!!!</v>
      </c>
      <c r="G6" s="522"/>
      <c r="H6" s="523"/>
      <c r="I6" s="20" t="s">
        <v>29</v>
      </c>
      <c r="J6" s="18"/>
      <c r="K6" s="15" t="e">
        <f>IF((G26*100/F4)&gt;70,100-(G26*100/F4),30)</f>
        <v>#VALUE!</v>
      </c>
      <c r="L6" s="92"/>
      <c r="M6" s="772" t="s">
        <v>94</v>
      </c>
      <c r="N6" s="773"/>
      <c r="O6" s="773"/>
      <c r="P6" s="773"/>
      <c r="Q6" s="774"/>
      <c r="R6" s="775" t="e">
        <f>S16+S20+S26</f>
        <v>#VALUE!</v>
      </c>
      <c r="S6" s="776"/>
      <c r="T6" s="777"/>
      <c r="U6" s="268"/>
      <c r="V6" s="10" t="s">
        <v>27</v>
      </c>
      <c r="W6" s="169"/>
      <c r="X6" s="118" t="e">
        <f>S11</f>
        <v>#VALUE!</v>
      </c>
    </row>
    <row r="7" spans="1:24" ht="27" customHeight="1" thickBot="1" x14ac:dyDescent="0.4">
      <c r="A7" s="31"/>
      <c r="B7" s="31"/>
      <c r="C7" s="31"/>
      <c r="D7" s="31"/>
      <c r="E7" s="31"/>
      <c r="F7" s="31"/>
      <c r="G7" s="31"/>
      <c r="H7" s="31"/>
      <c r="I7" s="20"/>
      <c r="J7" s="18"/>
      <c r="K7" s="15"/>
      <c r="M7" s="737" t="s">
        <v>151</v>
      </c>
      <c r="N7" s="738"/>
      <c r="O7" s="738"/>
      <c r="P7" s="738"/>
      <c r="Q7" s="738"/>
      <c r="R7" s="738"/>
      <c r="S7" s="738"/>
      <c r="T7" s="739"/>
      <c r="U7" s="268"/>
      <c r="V7" s="10" t="s">
        <v>32</v>
      </c>
      <c r="X7" s="118" t="e">
        <f>IF(X6&gt;X5,X5,X6)</f>
        <v>#VALUE!</v>
      </c>
    </row>
    <row r="8" spans="1:24" ht="32" thickBot="1" x14ac:dyDescent="0.4">
      <c r="A8" s="524" t="s">
        <v>168</v>
      </c>
      <c r="B8" s="525"/>
      <c r="C8" s="525"/>
      <c r="D8" s="525"/>
      <c r="E8" s="525"/>
      <c r="F8" s="525"/>
      <c r="G8" s="525"/>
      <c r="H8" s="526"/>
      <c r="I8" s="20" t="s">
        <v>35</v>
      </c>
      <c r="J8" s="18"/>
      <c r="K8" s="21" t="e">
        <f>IF(B31&gt;K4,K4,B31)</f>
        <v>#VALUE!</v>
      </c>
      <c r="M8" s="2" t="s">
        <v>4</v>
      </c>
      <c r="N8" s="3" t="s">
        <v>17</v>
      </c>
      <c r="O8" s="79" t="s">
        <v>6</v>
      </c>
      <c r="P8" s="79" t="s">
        <v>18</v>
      </c>
      <c r="Q8" s="79" t="s">
        <v>8</v>
      </c>
      <c r="R8" s="79" t="s">
        <v>9</v>
      </c>
      <c r="S8" s="810" t="s">
        <v>10</v>
      </c>
      <c r="T8" s="810"/>
      <c r="U8" s="269"/>
      <c r="V8" s="270" t="s">
        <v>11</v>
      </c>
      <c r="W8" s="254"/>
      <c r="X8" s="118" t="e">
        <f>S14*30/70</f>
        <v>#VALUE!</v>
      </c>
    </row>
    <row r="9" spans="1:24" ht="16.5" thickBot="1" x14ac:dyDescent="0.4">
      <c r="A9" s="527"/>
      <c r="B9" s="528"/>
      <c r="C9" s="528"/>
      <c r="D9" s="528"/>
      <c r="E9" s="528"/>
      <c r="F9" s="528"/>
      <c r="G9" s="528"/>
      <c r="H9" s="529"/>
      <c r="I9" s="20"/>
      <c r="J9" s="18"/>
      <c r="K9" s="15"/>
      <c r="M9" s="144" t="s">
        <v>23</v>
      </c>
      <c r="N9" s="140" t="str">
        <f>IF(CDP!D$23="SV",CDP!C$23,"")</f>
        <v/>
      </c>
      <c r="O9" s="81" t="e">
        <f>N9/($N$24+0.00001)</f>
        <v>#VALUE!</v>
      </c>
      <c r="P9" s="80" t="e">
        <f>IF(O9&lt;80%,N9,4*(N10+N11))</f>
        <v>#VALUE!</v>
      </c>
      <c r="Q9" s="81" t="e">
        <f>S9/($R$5+0.00001)</f>
        <v>#VALUE!</v>
      </c>
      <c r="R9" s="80" t="e">
        <f>IF(OR($P$10=$N$12,$P$11=$N$12,O9=100%),0,P9)</f>
        <v>#VALUE!</v>
      </c>
      <c r="S9" s="758" t="e">
        <f>R9</f>
        <v>#VALUE!</v>
      </c>
      <c r="T9" s="758"/>
      <c r="U9" s="269"/>
      <c r="V9" s="270" t="s">
        <v>24</v>
      </c>
      <c r="W9" s="66"/>
      <c r="X9" s="118">
        <f>N17</f>
        <v>0</v>
      </c>
    </row>
    <row r="10" spans="1:24" ht="15.65" customHeight="1" thickBot="1" x14ac:dyDescent="0.4">
      <c r="A10" s="782" t="s">
        <v>150</v>
      </c>
      <c r="B10" s="783"/>
      <c r="C10" s="783"/>
      <c r="D10" s="783"/>
      <c r="E10" s="783"/>
      <c r="F10" s="783"/>
      <c r="G10" s="783"/>
      <c r="H10" s="784"/>
      <c r="I10" s="19" t="s">
        <v>44</v>
      </c>
      <c r="J10" s="18"/>
      <c r="K10" s="15" t="e">
        <f>IF(K8=K4,0,IF(K8&lt;(G26*10/70),G26*20/70,IF(K8=(G26*10/70),G26*20/70,IF(K8&gt;(G26*10/70),(G26*30/70)-K8,0))))</f>
        <v>#VALUE!</v>
      </c>
      <c r="M10" s="145" t="s">
        <v>28</v>
      </c>
      <c r="N10" s="140" t="str">
        <f>IF(CDP!D$24="SV",CDP!C$24,"")</f>
        <v/>
      </c>
      <c r="O10" s="81" t="e">
        <f t="shared" ref="O10:O11" si="0">N10/($N$24+0.00001)</f>
        <v>#VALUE!</v>
      </c>
      <c r="P10" s="80" t="e">
        <f>IF(O10&lt;80%,N10,4*(N11+N9))</f>
        <v>#VALUE!</v>
      </c>
      <c r="Q10" s="81" t="e">
        <f t="shared" ref="Q10:Q11" si="1">S10/($R$5+0.00001)</f>
        <v>#VALUE!</v>
      </c>
      <c r="R10" s="80" t="e">
        <f>IF(OR($P$10=$N$12,$P$11=$N$12,$P$9=$N$12,O10=100%),0,P10)</f>
        <v>#VALUE!</v>
      </c>
      <c r="S10" s="758" t="e">
        <f>R10</f>
        <v>#VALUE!</v>
      </c>
      <c r="T10" s="758"/>
      <c r="U10" s="11"/>
      <c r="V10" s="270" t="s">
        <v>29</v>
      </c>
      <c r="W10" s="66"/>
      <c r="X10" s="118" t="e">
        <f>IF((S14*100/R5)&gt;70,100-(S14*100/R5),30)</f>
        <v>#VALUE!</v>
      </c>
    </row>
    <row r="11" spans="1:24" ht="21.65" customHeight="1" thickBot="1" x14ac:dyDescent="0.4">
      <c r="A11" s="785"/>
      <c r="B11" s="786"/>
      <c r="C11" s="786"/>
      <c r="D11" s="786"/>
      <c r="E11" s="786"/>
      <c r="F11" s="786"/>
      <c r="G11" s="786"/>
      <c r="H11" s="787"/>
      <c r="I11" s="19" t="s">
        <v>48</v>
      </c>
      <c r="J11" s="18"/>
      <c r="K11" s="15" t="e">
        <f>IF(K10&lt;B35+B34+B36+B33,K10,B35+B34+B36+B33)</f>
        <v>#VALUE!</v>
      </c>
      <c r="M11" s="145" t="s">
        <v>34</v>
      </c>
      <c r="N11" s="140" t="str">
        <f>IF(CDP!D$27="SV",CDP!C$27,"")</f>
        <v/>
      </c>
      <c r="O11" s="81" t="e">
        <f t="shared" si="0"/>
        <v>#VALUE!</v>
      </c>
      <c r="P11" s="80" t="e">
        <f>IF(O11&lt;80%,N11,4*(N10+N9))</f>
        <v>#VALUE!</v>
      </c>
      <c r="Q11" s="81" t="e">
        <f t="shared" si="1"/>
        <v>#VALUE!</v>
      </c>
      <c r="R11" s="80" t="e">
        <f>IF(OR($P$10=$N$12,$P$11=$N$12,$P$9=$N$12,O11=100%),0,P11)</f>
        <v>#VALUE!</v>
      </c>
      <c r="S11" s="758" t="e">
        <f>R11</f>
        <v>#VALUE!</v>
      </c>
      <c r="T11" s="758"/>
      <c r="U11" s="247"/>
      <c r="V11" s="270" t="s">
        <v>35</v>
      </c>
      <c r="W11" s="66"/>
      <c r="X11" s="118" t="e">
        <f>IF(N17&gt;X8,X8,N17)</f>
        <v>#VALUE!</v>
      </c>
    </row>
    <row r="12" spans="1:24" ht="28.15" customHeight="1" thickBot="1" x14ac:dyDescent="0.4">
      <c r="A12" s="513" t="s">
        <v>99</v>
      </c>
      <c r="B12" s="514"/>
      <c r="C12" s="514"/>
      <c r="D12" s="514"/>
      <c r="E12" s="514"/>
      <c r="F12" s="515">
        <f>IF(CDP!F41&lt;1.5,K37+K38,"")</f>
        <v>0</v>
      </c>
      <c r="G12" s="516"/>
      <c r="H12" s="517"/>
      <c r="I12" s="19"/>
      <c r="J12" s="18"/>
      <c r="K12" s="15"/>
      <c r="M12" s="146" t="s">
        <v>37</v>
      </c>
      <c r="N12" s="141">
        <f>SUM(N9:N11)</f>
        <v>0</v>
      </c>
      <c r="O12" s="81"/>
      <c r="P12" s="80"/>
      <c r="Q12" s="81"/>
      <c r="R12" s="82" t="s">
        <v>39</v>
      </c>
      <c r="S12" s="759" t="e">
        <f>X7</f>
        <v>#VALUE!</v>
      </c>
      <c r="T12" s="758"/>
      <c r="U12" s="271"/>
      <c r="V12" s="270"/>
      <c r="W12" s="66"/>
    </row>
    <row r="13" spans="1:24" ht="23.5" customHeight="1" thickBot="1" x14ac:dyDescent="0.4">
      <c r="A13" s="513" t="s">
        <v>95</v>
      </c>
      <c r="B13" s="514"/>
      <c r="C13" s="514"/>
      <c r="D13" s="514"/>
      <c r="E13" s="554"/>
      <c r="F13" s="779">
        <f>IF(CDP!F41&lt;1.5,K43,"")</f>
        <v>0</v>
      </c>
      <c r="G13" s="780"/>
      <c r="H13" s="781"/>
      <c r="I13" s="26" t="s">
        <v>55</v>
      </c>
      <c r="J13" s="18"/>
      <c r="K13" s="27" t="e">
        <f>IF(K11=0,0,K11*100/K15)</f>
        <v>#VALUE!</v>
      </c>
      <c r="O13" s="82"/>
      <c r="P13" s="9"/>
      <c r="Q13" s="78"/>
      <c r="R13" s="10"/>
      <c r="S13" s="11"/>
      <c r="T13" s="11"/>
      <c r="U13" s="247"/>
      <c r="V13" s="270" t="s">
        <v>44</v>
      </c>
      <c r="W13" s="66"/>
      <c r="X13" s="118" t="e">
        <f>IF(X11=X8,0,IF(X11&lt;X8,X8-X11,""))</f>
        <v>#VALUE!</v>
      </c>
    </row>
    <row r="14" spans="1:24" ht="31.9" customHeight="1" thickBot="1" x14ac:dyDescent="0.4">
      <c r="A14" s="518" t="s">
        <v>67</v>
      </c>
      <c r="B14" s="519"/>
      <c r="C14" s="519"/>
      <c r="D14" s="519"/>
      <c r="E14" s="520"/>
      <c r="F14" s="521" t="e">
        <f>IF(CDP!F41&lt;1.5,K4,"")</f>
        <v>#VALUE!</v>
      </c>
      <c r="G14" s="522"/>
      <c r="H14" s="523"/>
      <c r="I14" s="26" t="s">
        <v>59</v>
      </c>
      <c r="J14" s="18"/>
      <c r="K14" s="21" t="e">
        <f>IF(K11=0,0,IF(K13&gt;20,0.25*K15-0.25*K11,K11))</f>
        <v>#VALUE!</v>
      </c>
      <c r="M14" s="148" t="s">
        <v>46</v>
      </c>
      <c r="N14" s="140" t="str">
        <f>IF(CDP!D$28="SV",CDP!C$28,"")</f>
        <v/>
      </c>
      <c r="O14" s="138"/>
      <c r="P14" s="760" t="s">
        <v>43</v>
      </c>
      <c r="Q14" s="761"/>
      <c r="R14" s="761"/>
      <c r="S14" s="762" t="e">
        <f>SUM(S9,S10,S12)</f>
        <v>#VALUE!</v>
      </c>
      <c r="T14" s="763"/>
      <c r="U14" s="247"/>
      <c r="V14" s="270" t="s">
        <v>48</v>
      </c>
      <c r="W14" s="66"/>
      <c r="X14" s="118" t="e">
        <f>IF(X13&lt;N21+N20+N22+N19,X13,N21+N20+N22+N19)</f>
        <v>#VALUE!</v>
      </c>
    </row>
    <row r="15" spans="1:24" ht="16.5" thickBot="1" x14ac:dyDescent="0.4">
      <c r="A15" s="31"/>
      <c r="B15" s="31"/>
      <c r="C15" s="31"/>
      <c r="D15" s="31"/>
      <c r="E15" s="31"/>
      <c r="F15" s="31"/>
      <c r="G15" s="31"/>
      <c r="H15" s="31"/>
      <c r="I15" s="26" t="s">
        <v>64</v>
      </c>
      <c r="J15" s="18"/>
      <c r="K15" s="15" t="e">
        <f>G26+G30+K11</f>
        <v>#VALUE!</v>
      </c>
      <c r="M15" s="147" t="s">
        <v>49</v>
      </c>
      <c r="N15" s="140" t="str">
        <f>IF(CDP!D$29="SV",CDP!C$29,"")</f>
        <v/>
      </c>
      <c r="O15" s="80"/>
      <c r="P15" s="752" t="s">
        <v>50</v>
      </c>
      <c r="Q15" s="753"/>
      <c r="R15" s="753"/>
      <c r="S15" s="5" t="e">
        <f>IF(R5=0,0,S14*100/R5)</f>
        <v>#VALUE!</v>
      </c>
      <c r="T15" s="6" t="s">
        <v>41</v>
      </c>
      <c r="U15" s="247"/>
      <c r="V15" s="270"/>
      <c r="W15" s="66"/>
    </row>
    <row r="16" spans="1:24" ht="16.5" thickBot="1" x14ac:dyDescent="0.4">
      <c r="A16" s="782" t="s">
        <v>151</v>
      </c>
      <c r="B16" s="783"/>
      <c r="C16" s="783"/>
      <c r="D16" s="783"/>
      <c r="E16" s="783"/>
      <c r="F16" s="783"/>
      <c r="G16" s="783"/>
      <c r="H16" s="784"/>
      <c r="I16" s="26" t="s">
        <v>68</v>
      </c>
      <c r="J16" s="37"/>
      <c r="K16" s="15" t="e">
        <f>G26+G30+K14</f>
        <v>#VALUE!</v>
      </c>
      <c r="M16" s="149" t="s">
        <v>33</v>
      </c>
      <c r="N16" s="140" t="str">
        <f>IF(CDP!D$25="SV",CDP!C$25,"")</f>
        <v/>
      </c>
      <c r="O16" s="80"/>
      <c r="P16" s="764" t="s">
        <v>51</v>
      </c>
      <c r="Q16" s="765"/>
      <c r="R16" s="765"/>
      <c r="S16" s="766" t="e">
        <f>IF(N12&lt;S14,0,N12-S14)</f>
        <v>#VALUE!</v>
      </c>
      <c r="T16" s="767"/>
      <c r="U16" s="271"/>
      <c r="V16" s="272" t="s">
        <v>55</v>
      </c>
      <c r="W16" s="66"/>
      <c r="X16" s="262" t="e">
        <f>IF(X14=0,0,X14*100/X18)</f>
        <v>#VALUE!</v>
      </c>
    </row>
    <row r="17" spans="1:24" ht="20.5" customHeight="1" thickBot="1" x14ac:dyDescent="0.4">
      <c r="A17" s="785"/>
      <c r="B17" s="786"/>
      <c r="C17" s="786"/>
      <c r="D17" s="786"/>
      <c r="E17" s="786"/>
      <c r="F17" s="786"/>
      <c r="G17" s="786"/>
      <c r="H17" s="787"/>
      <c r="I17" s="19"/>
      <c r="J17" s="37"/>
      <c r="K17" s="24"/>
      <c r="M17" s="150" t="s">
        <v>54</v>
      </c>
      <c r="N17" s="142">
        <f>SUM(N14:N16)</f>
        <v>0</v>
      </c>
      <c r="O17" s="80"/>
      <c r="P17" s="788"/>
      <c r="Q17" s="788"/>
      <c r="R17" s="788"/>
      <c r="S17" s="747"/>
      <c r="T17" s="747"/>
      <c r="U17" s="247"/>
      <c r="V17" s="272" t="s">
        <v>59</v>
      </c>
      <c r="W17" s="66"/>
      <c r="X17" s="118" t="e">
        <f>IF(X14=0,0,IF(X16&gt;20,0.25*X18-0.25*X14,X14))</f>
        <v>#VALUE!</v>
      </c>
    </row>
    <row r="18" spans="1:24" ht="16.5" thickBot="1" x14ac:dyDescent="0.4">
      <c r="A18" s="737" t="s">
        <v>149</v>
      </c>
      <c r="B18" s="738"/>
      <c r="C18" s="738"/>
      <c r="D18" s="738"/>
      <c r="E18" s="738"/>
      <c r="F18" s="738"/>
      <c r="G18" s="738"/>
      <c r="H18" s="739"/>
      <c r="I18" s="38" t="s">
        <v>74</v>
      </c>
      <c r="J18" s="37"/>
      <c r="K18" s="15" t="e">
        <f>(B34+B35+B36)-(1/0.9)*(B34+B35+B36)+(0.1/0.9)*(G26+G30+B34+B35+B36+B33)</f>
        <v>#VALUE!</v>
      </c>
      <c r="O18" s="80"/>
      <c r="P18" s="748" t="s">
        <v>57</v>
      </c>
      <c r="Q18" s="749"/>
      <c r="R18" s="749"/>
      <c r="S18" s="750" t="e">
        <f>X11</f>
        <v>#VALUE!</v>
      </c>
      <c r="T18" s="751"/>
      <c r="U18" s="247"/>
      <c r="V18" s="272" t="s">
        <v>64</v>
      </c>
      <c r="W18" s="66"/>
      <c r="X18" s="118" t="e">
        <f>S14+S18+X14</f>
        <v>#VALUE!</v>
      </c>
    </row>
    <row r="19" spans="1:24" ht="25.9" customHeight="1" thickBot="1" x14ac:dyDescent="0.4">
      <c r="A19" s="134" t="s">
        <v>4</v>
      </c>
      <c r="B19" s="135" t="s">
        <v>5</v>
      </c>
      <c r="C19" s="307" t="s">
        <v>6</v>
      </c>
      <c r="D19" s="307" t="s">
        <v>7</v>
      </c>
      <c r="E19" s="307" t="s">
        <v>8</v>
      </c>
      <c r="F19" s="307" t="s">
        <v>9</v>
      </c>
      <c r="G19" s="793" t="s">
        <v>10</v>
      </c>
      <c r="H19" s="793"/>
      <c r="I19" s="26" t="s">
        <v>78</v>
      </c>
      <c r="J19" s="37"/>
      <c r="K19" s="24" t="e">
        <f>IF(K18=0,0,IF(B34+B35+B36&gt;K18,K18,B34+B35+B36))</f>
        <v>#VALUE!</v>
      </c>
      <c r="M19" s="152" t="s">
        <v>66</v>
      </c>
      <c r="N19" s="140" t="str">
        <f>IF(CDP!D$30="SV",CDP!C$30,"")</f>
        <v/>
      </c>
      <c r="O19" s="82"/>
      <c r="P19" s="752" t="s">
        <v>62</v>
      </c>
      <c r="Q19" s="753"/>
      <c r="R19" s="753"/>
      <c r="S19" s="5" t="e">
        <f>IF(R5=0,0,S18*100/R5)</f>
        <v>#VALUE!</v>
      </c>
      <c r="T19" s="6" t="s">
        <v>41</v>
      </c>
      <c r="U19" s="247"/>
      <c r="V19" s="272" t="s">
        <v>68</v>
      </c>
      <c r="W19" s="256"/>
      <c r="X19" s="118" t="e">
        <f>S14+S18+X17</f>
        <v>#VALUE!</v>
      </c>
    </row>
    <row r="20" spans="1:24" ht="18.5" thickBot="1" x14ac:dyDescent="0.4">
      <c r="A20" s="101" t="s">
        <v>23</v>
      </c>
      <c r="B20" s="42" t="str">
        <f>IF(CDP!D23="SV",CDP!C6-CDP!C23,"ERREUR")</f>
        <v>ERREUR</v>
      </c>
      <c r="C20" s="86" t="e">
        <f>B20/($B$38+0.00001)</f>
        <v>#VALUE!</v>
      </c>
      <c r="D20" s="87" t="e">
        <f>IF(C20&lt;90%,B20,9*(B21+B22+B23+B24))</f>
        <v>#VALUE!</v>
      </c>
      <c r="E20" s="86" t="e">
        <f t="shared" ref="E20:E24" si="2">G20/(F$4+0.00001)</f>
        <v>#VALUE!</v>
      </c>
      <c r="F20" s="80" t="e">
        <f>IF(OR($D$20=$B$25,$D$21=$B$25,$D$22=$B$25,$D$23=$B$25,$D$24=$B$25,C20=100%),0,D20)</f>
        <v>#VALUE!</v>
      </c>
      <c r="G20" s="499" t="e">
        <f>F20</f>
        <v>#VALUE!</v>
      </c>
      <c r="H20" s="499"/>
      <c r="I20" s="26" t="s">
        <v>81</v>
      </c>
      <c r="J20" s="37"/>
      <c r="K20" s="24" t="e">
        <f>IF(K19&gt;K14,K14,K19)</f>
        <v>#VALUE!</v>
      </c>
      <c r="M20" s="153" t="s">
        <v>70</v>
      </c>
      <c r="N20" s="140" t="str">
        <f>IF(CDP!D$31="SV",CDP!C$31,"")</f>
        <v/>
      </c>
      <c r="O20" s="139"/>
      <c r="P20" s="754" t="s">
        <v>67</v>
      </c>
      <c r="Q20" s="755"/>
      <c r="R20" s="755"/>
      <c r="S20" s="756" t="e">
        <f>IF(N17&lt;S18,0,N17-S18)</f>
        <v>#VALUE!</v>
      </c>
      <c r="T20" s="757"/>
      <c r="U20" s="271"/>
      <c r="V20" s="270"/>
      <c r="W20" s="256"/>
    </row>
    <row r="21" spans="1:24" ht="18.5" thickBot="1" x14ac:dyDescent="0.4">
      <c r="A21" s="102" t="s">
        <v>28</v>
      </c>
      <c r="B21" s="42" t="str">
        <f>IF(CDP!D24="SV",CDP!C7-CDP!C24,"ERREUR")</f>
        <v>ERREUR</v>
      </c>
      <c r="C21" s="86" t="e">
        <f t="shared" ref="C21:C24" si="3">B21/($B$38+0.00001)</f>
        <v>#VALUE!</v>
      </c>
      <c r="D21" s="87" t="e">
        <f>IF(C21&lt;90%,B21,9*(B22+B23+B24+B20))</f>
        <v>#VALUE!</v>
      </c>
      <c r="E21" s="86" t="e">
        <f t="shared" si="2"/>
        <v>#VALUE!</v>
      </c>
      <c r="F21" s="80" t="e">
        <f t="shared" ref="F21:F24" si="4">IF(OR($D$20=$B$25,$D$21=$B$25,$D$22=$B$25,$D$23=$B$25,$D$24=$B$25,C21=100%),0,D21)</f>
        <v>#VALUE!</v>
      </c>
      <c r="G21" s="499" t="e">
        <f>F21</f>
        <v>#VALUE!</v>
      </c>
      <c r="H21" s="499"/>
      <c r="I21" s="26" t="s">
        <v>84</v>
      </c>
      <c r="J21" s="37"/>
      <c r="K21" s="41" t="e">
        <f>K14-K20</f>
        <v>#VALUE!</v>
      </c>
      <c r="M21" s="153" t="s">
        <v>72</v>
      </c>
      <c r="N21" s="140" t="str">
        <f>IF(CDP!D$32="SV",CDP!C$32,"")</f>
        <v/>
      </c>
      <c r="O21" s="80"/>
      <c r="P21" s="788"/>
      <c r="Q21" s="788"/>
      <c r="R21" s="788"/>
      <c r="S21" s="747"/>
      <c r="T21" s="747"/>
      <c r="U21" s="247"/>
      <c r="V21" s="272" t="s">
        <v>74</v>
      </c>
      <c r="W21" s="256"/>
      <c r="X21" s="118" t="e">
        <f>(N20+N21+N22)-(1/0.9)*(N20+N21+N22)+(0.1/0.9)*(S14+S18+N20+N21+N22+N19)</f>
        <v>#VALUE!</v>
      </c>
    </row>
    <row r="22" spans="1:24" ht="18" x14ac:dyDescent="0.35">
      <c r="A22" s="102" t="s">
        <v>33</v>
      </c>
      <c r="B22" s="42" t="str">
        <f>IF(CDP!D25="SV",CDP!C8-CDP!C25,"ERREUR")</f>
        <v>ERREUR</v>
      </c>
      <c r="C22" s="86" t="e">
        <f t="shared" si="3"/>
        <v>#VALUE!</v>
      </c>
      <c r="D22" s="87" t="e">
        <f>IF(C22&lt;90%,B22,9*(B23+B24+B21+B20))</f>
        <v>#VALUE!</v>
      </c>
      <c r="E22" s="86" t="e">
        <f t="shared" si="2"/>
        <v>#VALUE!</v>
      </c>
      <c r="F22" s="80" t="e">
        <f t="shared" si="4"/>
        <v>#VALUE!</v>
      </c>
      <c r="G22" s="499" t="e">
        <f>F22</f>
        <v>#VALUE!</v>
      </c>
      <c r="H22" s="499"/>
      <c r="I22" s="26" t="s">
        <v>87</v>
      </c>
      <c r="J22" s="37"/>
      <c r="K22" s="24" t="e">
        <f>IF(B33=0,0,IF(B33&gt;K21,K21,B33))</f>
        <v>#VALUE!</v>
      </c>
      <c r="M22" s="153" t="s">
        <v>75</v>
      </c>
      <c r="N22" s="140" t="str">
        <f>IF(CDP!D$33="SV",CDP!C$33,"")</f>
        <v/>
      </c>
      <c r="O22" s="80"/>
      <c r="P22" s="798" t="s">
        <v>76</v>
      </c>
      <c r="Q22" s="799"/>
      <c r="R22" s="799"/>
      <c r="S22" s="800" t="e">
        <f>IF(OR(X25&gt;X24,X25=X24),X26,X34)</f>
        <v>#VALUE!</v>
      </c>
      <c r="T22" s="801"/>
      <c r="U22" s="271"/>
      <c r="V22" s="272" t="s">
        <v>78</v>
      </c>
      <c r="W22" s="256"/>
      <c r="X22" s="118" t="e">
        <f>IF(X21=0,0,IF(N20+N21+N22&gt;X21,X21,N20+N21+N22))</f>
        <v>#VALUE!</v>
      </c>
    </row>
    <row r="23" spans="1:24" ht="18" x14ac:dyDescent="0.35">
      <c r="A23" s="102" t="s">
        <v>36</v>
      </c>
      <c r="B23" s="42" t="str">
        <f>IF(CDP!D26="SV",CDP!C9-CDP!C26,"ERREUR")</f>
        <v>ERREUR</v>
      </c>
      <c r="C23" s="86" t="e">
        <f t="shared" si="3"/>
        <v>#VALUE!</v>
      </c>
      <c r="D23" s="87" t="e">
        <f>IF(C23&lt;90%,B23,9*(B20+B24+B22+B21))</f>
        <v>#VALUE!</v>
      </c>
      <c r="E23" s="86" t="e">
        <f t="shared" si="2"/>
        <v>#VALUE!</v>
      </c>
      <c r="F23" s="80" t="e">
        <f t="shared" si="4"/>
        <v>#VALUE!</v>
      </c>
      <c r="G23" s="499" t="e">
        <f>F23</f>
        <v>#VALUE!</v>
      </c>
      <c r="H23" s="499"/>
      <c r="I23" s="26" t="s">
        <v>90</v>
      </c>
      <c r="K23" s="24" t="e">
        <f>K22+K20</f>
        <v>#VALUE!</v>
      </c>
      <c r="M23" s="154" t="s">
        <v>80</v>
      </c>
      <c r="N23" s="143">
        <f>SUM(N19:N22)</f>
        <v>0</v>
      </c>
      <c r="O23" s="80"/>
      <c r="P23" s="752" t="s">
        <v>62</v>
      </c>
      <c r="Q23" s="753"/>
      <c r="R23" s="753"/>
      <c r="S23" s="5" t="e">
        <f>IF(R5=0,0,S22*100/R5)</f>
        <v>#VALUE!</v>
      </c>
      <c r="T23" s="6" t="s">
        <v>41</v>
      </c>
      <c r="U23" s="247"/>
      <c r="V23" s="272" t="s">
        <v>81</v>
      </c>
      <c r="W23" s="256"/>
      <c r="X23" s="118" t="e">
        <f>IF(X22&gt;X17,X17,X22)</f>
        <v>#VALUE!</v>
      </c>
    </row>
    <row r="24" spans="1:24" ht="18.5" thickBot="1" x14ac:dyDescent="0.4">
      <c r="A24" s="102" t="s">
        <v>34</v>
      </c>
      <c r="B24" s="42" t="str">
        <f>IF(CDP!D27="SV",CDP!C10-CDP!C27,"ERREUR")</f>
        <v>ERREUR</v>
      </c>
      <c r="C24" s="86" t="e">
        <f t="shared" si="3"/>
        <v>#VALUE!</v>
      </c>
      <c r="D24" s="87" t="e">
        <f>IF(C24&lt;90%,B24,9*(B23+B20+B21+B22))</f>
        <v>#VALUE!</v>
      </c>
      <c r="E24" s="86" t="e">
        <f t="shared" si="2"/>
        <v>#VALUE!</v>
      </c>
      <c r="F24" s="80" t="e">
        <f t="shared" si="4"/>
        <v>#VALUE!</v>
      </c>
      <c r="G24" s="499" t="e">
        <f>F24</f>
        <v>#VALUE!</v>
      </c>
      <c r="H24" s="499"/>
      <c r="I24" s="38" t="s">
        <v>68</v>
      </c>
      <c r="K24" s="15" t="e">
        <f>G26+G30+K23</f>
        <v>#VALUE!</v>
      </c>
      <c r="M24" s="155" t="s">
        <v>61</v>
      </c>
      <c r="N24" s="156">
        <f>N23+N17+N12</f>
        <v>0</v>
      </c>
      <c r="O24" s="80"/>
      <c r="P24" s="752" t="s">
        <v>83</v>
      </c>
      <c r="Q24" s="753"/>
      <c r="R24" s="753"/>
      <c r="S24" s="770" t="e">
        <f>IF(OR(X25&gt;X24,X25=X24),X23,X30)</f>
        <v>#VALUE!</v>
      </c>
      <c r="T24" s="771"/>
      <c r="U24" s="244"/>
      <c r="V24" s="272" t="s">
        <v>84</v>
      </c>
      <c r="W24" s="256"/>
      <c r="X24" s="262" t="e">
        <f>X17-X23</f>
        <v>#VALUE!</v>
      </c>
    </row>
    <row r="25" spans="1:24" ht="16.5" thickBot="1" x14ac:dyDescent="0.4">
      <c r="A25" s="103" t="s">
        <v>37</v>
      </c>
      <c r="B25" s="28">
        <f>SUM(B20:B24)</f>
        <v>0</v>
      </c>
      <c r="C25" s="308"/>
      <c r="D25" s="308"/>
      <c r="E25" s="86"/>
      <c r="F25" s="302"/>
      <c r="G25" s="309"/>
      <c r="H25" s="309"/>
      <c r="I25" s="26"/>
      <c r="K25" s="15"/>
      <c r="M25" s="80"/>
      <c r="N25" s="80"/>
      <c r="O25" s="82"/>
      <c r="P25" s="752" t="s">
        <v>71</v>
      </c>
      <c r="Q25" s="753"/>
      <c r="R25" s="753"/>
      <c r="S25" s="5" t="e">
        <f>IF(R$5=0,0,S24*100/R$5)</f>
        <v>#VALUE!</v>
      </c>
      <c r="T25" s="6" t="s">
        <v>41</v>
      </c>
      <c r="U25" s="244"/>
      <c r="V25" s="272" t="s">
        <v>87</v>
      </c>
      <c r="W25" s="256"/>
      <c r="X25" s="118" t="e">
        <f>IF(N19=0,0,IF(N19&gt;X24,X24,N19))</f>
        <v>#VALUE!</v>
      </c>
    </row>
    <row r="26" spans="1:24" ht="16.149999999999999" customHeight="1" thickBot="1" x14ac:dyDescent="0.4">
      <c r="A26" s="609"/>
      <c r="B26" s="609"/>
      <c r="C26" s="33"/>
      <c r="D26" s="789" t="s">
        <v>43</v>
      </c>
      <c r="E26" s="790"/>
      <c r="F26" s="790"/>
      <c r="G26" s="538" t="e">
        <f>SUM(G20:G24)</f>
        <v>#VALUE!</v>
      </c>
      <c r="H26" s="539"/>
      <c r="I26" s="26" t="s">
        <v>96</v>
      </c>
      <c r="K26" s="24" t="e">
        <f>0.1*K24</f>
        <v>#VALUE!</v>
      </c>
      <c r="M26" s="80"/>
      <c r="N26" s="80"/>
      <c r="O26" s="80"/>
      <c r="P26" s="794" t="s">
        <v>88</v>
      </c>
      <c r="Q26" s="795"/>
      <c r="R26" s="795"/>
      <c r="S26" s="768" t="e">
        <f>IF(N23&lt;S22,0,N23-S22)</f>
        <v>#VALUE!</v>
      </c>
      <c r="T26" s="769"/>
      <c r="U26" s="244"/>
      <c r="V26" s="272" t="s">
        <v>90</v>
      </c>
      <c r="X26" s="118" t="e">
        <f>X25+X23</f>
        <v>#VALUE!</v>
      </c>
    </row>
    <row r="27" spans="1:24" ht="18.5" thickBot="1" x14ac:dyDescent="0.4">
      <c r="A27" s="70" t="s">
        <v>46</v>
      </c>
      <c r="B27" s="42" t="str">
        <f>IF(CDP!D28="SV",CDP!C12-CDP!C28,"ERREUR")</f>
        <v>ERREUR</v>
      </c>
      <c r="C27" s="34"/>
      <c r="D27" s="558" t="s">
        <v>50</v>
      </c>
      <c r="E27" s="559"/>
      <c r="F27" s="559"/>
      <c r="G27" s="35" t="e">
        <f>IF(F4=0,0,G26*100/F4)</f>
        <v>#VALUE!</v>
      </c>
      <c r="H27" s="36" t="s">
        <v>41</v>
      </c>
      <c r="I27" s="26" t="s">
        <v>78</v>
      </c>
      <c r="K27" s="21" t="e">
        <f>IF(K26=0,0,IF(B34+B35+B36&gt;K26,K26,B34+B35+B36))</f>
        <v>#VALUE!</v>
      </c>
      <c r="M27" s="796"/>
      <c r="N27" s="796"/>
      <c r="O27" s="796"/>
      <c r="P27" s="796"/>
      <c r="Q27" s="796"/>
      <c r="R27" s="797"/>
      <c r="S27" s="797"/>
      <c r="T27" s="797"/>
      <c r="U27" s="244"/>
      <c r="V27" s="272" t="s">
        <v>68</v>
      </c>
      <c r="X27" s="118" t="e">
        <f>S14+S18+X26</f>
        <v>#VALUE!</v>
      </c>
    </row>
    <row r="28" spans="1:24" ht="19.149999999999999" customHeight="1" thickBot="1" x14ac:dyDescent="0.4">
      <c r="A28" s="70" t="s">
        <v>49</v>
      </c>
      <c r="B28" s="39" t="str">
        <f>IF(CDP!D29="SV",CDP!C13-CDP!C29,"ERREUR")</f>
        <v>ERREUR</v>
      </c>
      <c r="C28" s="34"/>
      <c r="D28" s="791" t="s">
        <v>51</v>
      </c>
      <c r="E28" s="792"/>
      <c r="F28" s="792"/>
      <c r="G28" s="584" t="e">
        <f>IF(B25&lt;G26,0,B25-G26)</f>
        <v>#VALUE!</v>
      </c>
      <c r="H28" s="585"/>
      <c r="I28" s="26"/>
      <c r="K28" s="15"/>
      <c r="L28" s="92"/>
      <c r="M28" s="740" t="s">
        <v>98</v>
      </c>
      <c r="N28" s="741"/>
      <c r="O28" s="741"/>
      <c r="P28" s="741"/>
      <c r="Q28" s="741"/>
      <c r="R28" s="741"/>
      <c r="S28" s="741"/>
      <c r="T28" s="742"/>
      <c r="V28" s="272"/>
    </row>
    <row r="29" spans="1:24" ht="25.15" customHeight="1" thickBot="1" x14ac:dyDescent="0.4">
      <c r="A29" s="74" t="s">
        <v>58</v>
      </c>
      <c r="B29" s="39">
        <f>CDP!C14</f>
        <v>0</v>
      </c>
      <c r="C29" s="34"/>
      <c r="D29" s="569"/>
      <c r="E29" s="569"/>
      <c r="F29" s="569"/>
      <c r="G29" s="570"/>
      <c r="H29" s="570"/>
      <c r="I29" s="26" t="s">
        <v>84</v>
      </c>
      <c r="K29" s="15" t="e">
        <f>K14-K27</f>
        <v>#VALUE!</v>
      </c>
      <c r="M29" s="743"/>
      <c r="N29" s="744"/>
      <c r="O29" s="744"/>
      <c r="P29" s="744"/>
      <c r="Q29" s="744"/>
      <c r="R29" s="744"/>
      <c r="S29" s="744"/>
      <c r="T29" s="745"/>
      <c r="V29" s="272" t="s">
        <v>96</v>
      </c>
      <c r="X29" s="118" t="e">
        <f>0.1*X27</f>
        <v>#VALUE!</v>
      </c>
    </row>
    <row r="30" spans="1:24" ht="34.9" customHeight="1" thickBot="1" x14ac:dyDescent="0.4">
      <c r="A30" s="70" t="s">
        <v>63</v>
      </c>
      <c r="B30" s="39">
        <f>CDP!C15</f>
        <v>0</v>
      </c>
      <c r="C30" s="34"/>
      <c r="D30" s="573" t="s">
        <v>57</v>
      </c>
      <c r="E30" s="574"/>
      <c r="F30" s="574"/>
      <c r="G30" s="538" t="e">
        <f>K8</f>
        <v>#VALUE!</v>
      </c>
      <c r="H30" s="539"/>
      <c r="I30" s="26" t="s">
        <v>87</v>
      </c>
      <c r="K30" s="15" t="e">
        <f>IF(B33=0,0,IF(B33&gt;K29,K29,B33))</f>
        <v>#VALUE!</v>
      </c>
      <c r="M30" s="513" t="s">
        <v>121</v>
      </c>
      <c r="N30" s="514"/>
      <c r="O30" s="514"/>
      <c r="P30" s="514"/>
      <c r="Q30" s="514"/>
      <c r="R30" s="515" t="e">
        <f>S14+S18+S24</f>
        <v>#VALUE!</v>
      </c>
      <c r="S30" s="516"/>
      <c r="T30" s="517"/>
      <c r="V30" s="272" t="s">
        <v>78</v>
      </c>
      <c r="X30" s="118" t="e">
        <f>IF(X29=0,0,IF(N20+N21+N22&gt;X29,X29,N20+N21+N22))</f>
        <v>#VALUE!</v>
      </c>
    </row>
    <row r="31" spans="1:24" ht="26.5" customHeight="1" thickBot="1" x14ac:dyDescent="0.4">
      <c r="A31" s="75" t="s">
        <v>54</v>
      </c>
      <c r="B31" s="8">
        <f>SUM(B27:B30)</f>
        <v>0</v>
      </c>
      <c r="C31" s="29"/>
      <c r="D31" s="558" t="s">
        <v>50</v>
      </c>
      <c r="E31" s="559"/>
      <c r="F31" s="559"/>
      <c r="G31" s="35" t="e">
        <f>IF(F4=0,0,G30*100/F4)</f>
        <v>#VALUE!</v>
      </c>
      <c r="H31" s="36" t="s">
        <v>41</v>
      </c>
      <c r="I31" s="26" t="s">
        <v>90</v>
      </c>
      <c r="K31" s="21" t="e">
        <f>K30+K27</f>
        <v>#VALUE!</v>
      </c>
      <c r="M31" s="518" t="s">
        <v>124</v>
      </c>
      <c r="N31" s="519"/>
      <c r="O31" s="519"/>
      <c r="P31" s="519"/>
      <c r="Q31" s="520"/>
      <c r="R31" s="521" t="e">
        <f>S43+S49+S55</f>
        <v>#VALUE!</v>
      </c>
      <c r="S31" s="522"/>
      <c r="T31" s="523"/>
      <c r="V31" s="272"/>
    </row>
    <row r="32" spans="1:24" ht="16.149999999999999" customHeight="1" thickBot="1" x14ac:dyDescent="0.4">
      <c r="C32" s="40"/>
      <c r="D32" s="560" t="s">
        <v>67</v>
      </c>
      <c r="E32" s="561"/>
      <c r="F32" s="561"/>
      <c r="G32" s="584" t="e">
        <f>IF(B31&lt;G30,0,B31-G30)</f>
        <v>#VALUE!</v>
      </c>
      <c r="H32" s="585"/>
      <c r="I32" s="38"/>
      <c r="K32" s="15"/>
      <c r="L32" s="34"/>
      <c r="M32" s="746"/>
      <c r="N32" s="746"/>
      <c r="O32" s="746"/>
      <c r="P32" s="746"/>
      <c r="Q32" s="746"/>
      <c r="R32" s="611"/>
      <c r="S32" s="611"/>
      <c r="T32" s="611"/>
      <c r="V32" s="272" t="s">
        <v>84</v>
      </c>
      <c r="X32" s="118" t="e">
        <f>X17-X30</f>
        <v>#VALUE!</v>
      </c>
    </row>
    <row r="33" spans="1:24" ht="25.9" customHeight="1" thickBot="1" x14ac:dyDescent="0.4">
      <c r="A33" s="151" t="s">
        <v>66</v>
      </c>
      <c r="B33" s="42" t="str">
        <f>IF(CDP!D30="SV",CDP!C17-CDP!C30,"ERREUR")</f>
        <v>ERREUR</v>
      </c>
      <c r="C33" s="34"/>
      <c r="D33" s="569"/>
      <c r="E33" s="569"/>
      <c r="F33" s="569"/>
      <c r="G33" s="570"/>
      <c r="H33" s="570"/>
      <c r="K33" s="15"/>
      <c r="M33" s="802" t="s">
        <v>151</v>
      </c>
      <c r="N33" s="803"/>
      <c r="O33" s="803"/>
      <c r="P33" s="803"/>
      <c r="Q33" s="803"/>
      <c r="R33" s="803"/>
      <c r="S33" s="803"/>
      <c r="T33" s="804"/>
      <c r="U33" s="241"/>
      <c r="V33" s="272" t="s">
        <v>87</v>
      </c>
      <c r="X33" s="118" t="e">
        <f>IF(N19=0,0,IF(N19&gt;X32,X32,N19))</f>
        <v>#VALUE!</v>
      </c>
    </row>
    <row r="34" spans="1:24" ht="31.15" customHeight="1" x14ac:dyDescent="0.35">
      <c r="A34" s="69" t="s">
        <v>70</v>
      </c>
      <c r="B34" s="39" t="str">
        <f>IF(CDP!D31="SV",CDP!C18-CDP!C31,"ERREUR")</f>
        <v>ERREUR</v>
      </c>
      <c r="C34" s="34"/>
      <c r="D34" s="811" t="s">
        <v>76</v>
      </c>
      <c r="E34" s="812"/>
      <c r="F34" s="812"/>
      <c r="G34" s="538" t="e">
        <f>IF(OR(K22&gt;K21,K22=K21),K23,K31)</f>
        <v>#VALUE!</v>
      </c>
      <c r="H34" s="539"/>
      <c r="I34" s="23" t="s">
        <v>100</v>
      </c>
      <c r="K34" s="15"/>
      <c r="M34" s="805" t="s">
        <v>4</v>
      </c>
      <c r="N34" s="815" t="s">
        <v>17</v>
      </c>
      <c r="O34" s="810" t="s">
        <v>6</v>
      </c>
      <c r="P34" s="810" t="s">
        <v>18</v>
      </c>
      <c r="Q34" s="810" t="s">
        <v>8</v>
      </c>
      <c r="R34" s="810" t="s">
        <v>9</v>
      </c>
      <c r="S34" s="810" t="s">
        <v>10</v>
      </c>
      <c r="T34" s="810"/>
      <c r="U34" s="241"/>
      <c r="V34" s="272" t="s">
        <v>90</v>
      </c>
      <c r="X34" s="118" t="e">
        <f>X33+X30</f>
        <v>#VALUE!</v>
      </c>
    </row>
    <row r="35" spans="1:24" ht="18.5" thickBot="1" x14ac:dyDescent="0.4">
      <c r="A35" s="69" t="s">
        <v>72</v>
      </c>
      <c r="B35" s="39" t="str">
        <f>IF(CDP!D32="SV",CDP!C19-CDP!C32,"ERREUR")</f>
        <v>ERREUR</v>
      </c>
      <c r="C35" s="34"/>
      <c r="D35" s="558" t="s">
        <v>50</v>
      </c>
      <c r="E35" s="559"/>
      <c r="F35" s="559"/>
      <c r="G35" s="35" t="e">
        <f>IF(F4=0,0,G34*100/F4)</f>
        <v>#VALUE!</v>
      </c>
      <c r="H35" s="36" t="s">
        <v>41</v>
      </c>
      <c r="I35" s="26" t="s">
        <v>101</v>
      </c>
      <c r="K35" s="15">
        <f>B25</f>
        <v>0</v>
      </c>
      <c r="M35" s="806"/>
      <c r="N35" s="816"/>
      <c r="O35" s="810"/>
      <c r="P35" s="810"/>
      <c r="Q35" s="810"/>
      <c r="R35" s="810"/>
      <c r="S35" s="810"/>
      <c r="T35" s="810"/>
    </row>
    <row r="36" spans="1:24" ht="18.649999999999999" customHeight="1" thickBot="1" x14ac:dyDescent="0.4">
      <c r="A36" s="69" t="s">
        <v>75</v>
      </c>
      <c r="B36" s="39" t="str">
        <f>IF(CDP!D33="SV",CDP!C20-CDP!C33,"ERREUR")</f>
        <v>ERREUR</v>
      </c>
      <c r="C36" s="34"/>
      <c r="D36" s="813" t="s">
        <v>83</v>
      </c>
      <c r="E36" s="814"/>
      <c r="F36" s="814"/>
      <c r="G36" s="602" t="e">
        <f>IF(OR(K22&gt;K21,K22=K21),K20,K27)</f>
        <v>#VALUE!</v>
      </c>
      <c r="H36" s="603"/>
      <c r="I36" s="26" t="s">
        <v>102</v>
      </c>
      <c r="K36" s="15">
        <f>B37+B31</f>
        <v>0</v>
      </c>
      <c r="M36" s="144" t="s">
        <v>23</v>
      </c>
      <c r="N36" s="140" t="str">
        <f>IF(CDP!D$23="SV",CDP!C$23,"")</f>
        <v/>
      </c>
      <c r="O36" s="81" t="e">
        <f>N36/($N$39+0.00001)</f>
        <v>#VALUE!</v>
      </c>
      <c r="P36" s="80" t="e">
        <f>IF(O36&lt;80%,N36,4*(N37+N38))</f>
        <v>#VALUE!</v>
      </c>
      <c r="Q36" s="81" t="e">
        <f>S36/($R$30+0.00001)</f>
        <v>#VALUE!</v>
      </c>
      <c r="R36" s="80" t="e">
        <f>IF(OR($P$37=$N$39,$P$38=$N$39,O36=100%),0,P36)</f>
        <v>#VALUE!</v>
      </c>
      <c r="S36" s="758" t="e">
        <f>R36</f>
        <v>#VALUE!</v>
      </c>
      <c r="T36" s="758"/>
    </row>
    <row r="37" spans="1:24" ht="16.5" thickBot="1" x14ac:dyDescent="0.4">
      <c r="A37" s="77" t="s">
        <v>80</v>
      </c>
      <c r="B37" s="8">
        <f>SUM(B33:B36)</f>
        <v>0</v>
      </c>
      <c r="C37" s="29"/>
      <c r="D37" s="558" t="s">
        <v>50</v>
      </c>
      <c r="E37" s="559"/>
      <c r="F37" s="559"/>
      <c r="G37" s="35" t="e">
        <f>IF(F4=0,0,G36*100/F4)</f>
        <v>#VALUE!</v>
      </c>
      <c r="H37" s="36" t="s">
        <v>41</v>
      </c>
      <c r="I37" s="26" t="s">
        <v>45</v>
      </c>
      <c r="K37" s="15">
        <f>B25</f>
        <v>0</v>
      </c>
      <c r="M37" s="145" t="s">
        <v>28</v>
      </c>
      <c r="N37" s="140" t="str">
        <f>IF(CDP!D$24="SV",CDP!C$24,"")</f>
        <v/>
      </c>
      <c r="O37" s="81" t="e">
        <f t="shared" ref="O37:O38" si="5">N37/($N$39+0.00001)</f>
        <v>#VALUE!</v>
      </c>
      <c r="P37" s="80" t="e">
        <f>IF(O37&lt;80%,N37,4*(N38+N36))</f>
        <v>#VALUE!</v>
      </c>
      <c r="Q37" s="81" t="e">
        <f t="shared" ref="Q37:Q38" si="6">S37/($R$30+0.00001)</f>
        <v>#VALUE!</v>
      </c>
      <c r="R37" s="80" t="e">
        <f>IF(OR($P$37=$N$39,$P$38=$N$39,$P$36=$N$39,O37=100%),0,P37)</f>
        <v>#VALUE!</v>
      </c>
      <c r="S37" s="758" t="e">
        <f>R37</f>
        <v>#VALUE!</v>
      </c>
      <c r="T37" s="758"/>
      <c r="U37" s="267"/>
      <c r="V37" s="10" t="s">
        <v>19</v>
      </c>
      <c r="X37" s="118" t="e">
        <f>S37+S36</f>
        <v>#VALUE!</v>
      </c>
    </row>
    <row r="38" spans="1:24" ht="32.5" customHeight="1" thickBot="1" x14ac:dyDescent="0.4">
      <c r="A38" s="130" t="s">
        <v>61</v>
      </c>
      <c r="B38" s="131">
        <f>B37+B31+B25</f>
        <v>0</v>
      </c>
      <c r="C38" s="31"/>
      <c r="D38" s="587" t="s">
        <v>88</v>
      </c>
      <c r="E38" s="588"/>
      <c r="F38" s="588"/>
      <c r="G38" s="584" t="e">
        <f>IF(B37&lt;G34,0,B37-G34)</f>
        <v>#VALUE!</v>
      </c>
      <c r="H38" s="585"/>
      <c r="I38" s="26" t="s">
        <v>104</v>
      </c>
      <c r="K38" s="15">
        <f>IF(K36&gt;K37,K37,K36)</f>
        <v>0</v>
      </c>
      <c r="M38" s="145" t="s">
        <v>34</v>
      </c>
      <c r="N38" s="140" t="str">
        <f>IF(CDP!D$27="SV",CDP!C$27,"")</f>
        <v/>
      </c>
      <c r="O38" s="81" t="e">
        <f t="shared" si="5"/>
        <v>#VALUE!</v>
      </c>
      <c r="P38" s="80" t="e">
        <f>IF(O38&lt;80%,N38,4*(N37+N36))</f>
        <v>#VALUE!</v>
      </c>
      <c r="Q38" s="81" t="e">
        <f t="shared" si="6"/>
        <v>#VALUE!</v>
      </c>
      <c r="R38" s="80" t="e">
        <f>IF(OR($P$37=$N$39,$P$38=$N$39,$P$36=$N$39,O38=100%),0,P38)</f>
        <v>#VALUE!</v>
      </c>
      <c r="S38" s="758" t="e">
        <f>R38</f>
        <v>#VALUE!</v>
      </c>
      <c r="T38" s="758"/>
      <c r="U38" s="269"/>
      <c r="V38" s="12" t="s">
        <v>27</v>
      </c>
      <c r="W38" s="169"/>
      <c r="X38" s="118" t="e">
        <f>S38</f>
        <v>#VALUE!</v>
      </c>
    </row>
    <row r="39" spans="1:24" ht="16.5" thickBot="1" x14ac:dyDescent="0.4">
      <c r="A39" s="610"/>
      <c r="B39" s="610"/>
      <c r="C39" s="610"/>
      <c r="D39" s="610"/>
      <c r="E39" s="610"/>
      <c r="F39" s="730"/>
      <c r="G39" s="730"/>
      <c r="H39" s="730"/>
      <c r="I39" s="26" t="s">
        <v>106</v>
      </c>
      <c r="K39" s="15">
        <f>IF(K36&gt;K37,K36-K37,0)</f>
        <v>0</v>
      </c>
      <c r="M39" s="146" t="s">
        <v>37</v>
      </c>
      <c r="N39" s="141">
        <f>SUM(N36:N38)</f>
        <v>0</v>
      </c>
      <c r="O39" s="81"/>
      <c r="P39" s="80"/>
      <c r="Q39" s="81"/>
      <c r="R39" s="82" t="s">
        <v>39</v>
      </c>
      <c r="S39" s="759" t="e">
        <f>X39</f>
        <v>#VALUE!</v>
      </c>
      <c r="T39" s="758"/>
      <c r="U39" s="269"/>
      <c r="V39" s="12" t="s">
        <v>32</v>
      </c>
      <c r="X39" s="118" t="e">
        <f>IF(X38&gt;X37,X37,X38)</f>
        <v>#VALUE!</v>
      </c>
    </row>
    <row r="40" spans="1:24" ht="16.5" thickBot="1" x14ac:dyDescent="0.4">
      <c r="A40" s="31"/>
      <c r="B40" s="31"/>
      <c r="C40" s="116"/>
      <c r="D40" s="31"/>
      <c r="E40" s="31"/>
      <c r="F40" s="31"/>
      <c r="G40" s="31"/>
      <c r="H40" s="31"/>
      <c r="I40" s="26" t="s">
        <v>107</v>
      </c>
      <c r="J40"/>
      <c r="K40" s="1">
        <f>IF(B16&gt;K38,B16-K38,0)</f>
        <v>0</v>
      </c>
      <c r="O40" s="9"/>
      <c r="P40" s="9"/>
      <c r="Q40" s="78"/>
      <c r="R40" s="10"/>
      <c r="S40" s="11"/>
      <c r="T40" s="11"/>
      <c r="U40" s="269"/>
      <c r="V40" s="270" t="s">
        <v>21</v>
      </c>
      <c r="W40" s="254"/>
      <c r="X40" s="118" t="e">
        <f>S41*20/80</f>
        <v>#VALUE!</v>
      </c>
    </row>
    <row r="41" spans="1:24" ht="16.5" thickBot="1" x14ac:dyDescent="0.4">
      <c r="A41" s="31"/>
      <c r="B41" s="31"/>
      <c r="C41" s="116"/>
      <c r="D41" s="31"/>
      <c r="E41" s="31"/>
      <c r="F41" s="31"/>
      <c r="G41" s="31"/>
      <c r="H41" s="31"/>
      <c r="I41" s="26" t="s">
        <v>108</v>
      </c>
      <c r="J41"/>
      <c r="K41" s="1">
        <f>IF(B31&gt;K38,K38,B31)</f>
        <v>0</v>
      </c>
      <c r="M41" s="148" t="s">
        <v>46</v>
      </c>
      <c r="N41" s="140" t="str">
        <f>IF(CDP!D$28="SV",CDP!C$28,"")</f>
        <v/>
      </c>
      <c r="O41" s="66"/>
      <c r="P41" s="760" t="s">
        <v>43</v>
      </c>
      <c r="Q41" s="761"/>
      <c r="R41" s="761"/>
      <c r="S41" s="762" t="e">
        <f>SUM(S36,S37,S39)</f>
        <v>#VALUE!</v>
      </c>
      <c r="T41" s="763"/>
      <c r="U41" s="268"/>
      <c r="V41" s="270" t="s">
        <v>24</v>
      </c>
      <c r="W41" s="66"/>
      <c r="X41" s="118" t="e">
        <f>N41+N43+X47</f>
        <v>#VALUE!</v>
      </c>
    </row>
    <row r="42" spans="1:24" ht="16.5" thickBot="1" x14ac:dyDescent="0.4">
      <c r="A42" s="31"/>
      <c r="B42" s="31"/>
      <c r="C42" s="116"/>
      <c r="D42" s="31"/>
      <c r="E42" s="31"/>
      <c r="F42" s="31"/>
      <c r="G42" s="31"/>
      <c r="H42" s="31"/>
      <c r="I42" s="26" t="s">
        <v>109</v>
      </c>
      <c r="J42"/>
      <c r="K42" s="1">
        <f>IF(K41=K38,0,K38-K41)</f>
        <v>0</v>
      </c>
      <c r="M42" s="147" t="s">
        <v>49</v>
      </c>
      <c r="N42" s="140" t="str">
        <f>IF(CDP!D$29="SV",CDP!C$29,"")</f>
        <v/>
      </c>
      <c r="O42" s="12"/>
      <c r="P42" s="752" t="s">
        <v>47</v>
      </c>
      <c r="Q42" s="753"/>
      <c r="R42" s="753"/>
      <c r="S42" s="5" t="e">
        <f>IF(R30=0,0,S41*100/R30)</f>
        <v>#VALUE!</v>
      </c>
      <c r="T42" s="6" t="s">
        <v>41</v>
      </c>
      <c r="U42" s="11"/>
      <c r="V42" s="270" t="s">
        <v>29</v>
      </c>
      <c r="W42" s="66"/>
      <c r="X42" s="118" t="e">
        <f>IF((S41*100/R30)&gt;70,100-(S41*100/R30),30)</f>
        <v>#VALUE!</v>
      </c>
    </row>
    <row r="43" spans="1:24" ht="16.5" thickBot="1" x14ac:dyDescent="0.4">
      <c r="A43" s="31"/>
      <c r="B43" s="31"/>
      <c r="C43" s="116"/>
      <c r="D43" s="31"/>
      <c r="E43" s="31"/>
      <c r="F43" s="31"/>
      <c r="G43" s="31"/>
      <c r="H43" s="31"/>
      <c r="I43" s="26" t="s">
        <v>111</v>
      </c>
      <c r="J43"/>
      <c r="K43" s="1">
        <f>IF(K42&gt;0,B37-K42,B37)</f>
        <v>0</v>
      </c>
      <c r="M43" s="149" t="s">
        <v>33</v>
      </c>
      <c r="N43" s="140" t="str">
        <f>IF(CDP!D$25="SV",CDP!C$25,"")</f>
        <v/>
      </c>
      <c r="O43" s="12"/>
      <c r="P43" s="764" t="s">
        <v>51</v>
      </c>
      <c r="Q43" s="765"/>
      <c r="R43" s="765"/>
      <c r="S43" s="766" t="e">
        <f>IF(N39&lt;S41,0,N39-S41)</f>
        <v>#VALUE!</v>
      </c>
      <c r="T43" s="767"/>
      <c r="U43" s="247"/>
      <c r="V43" s="270" t="s">
        <v>110</v>
      </c>
      <c r="W43" s="66"/>
      <c r="X43" s="118" t="e">
        <f>IF(N41+N43=0,N42,IF((N42+N41+N43)&gt;X40,X40,(N42+N41+N43)))</f>
        <v>#VALUE!</v>
      </c>
    </row>
    <row r="44" spans="1:24" ht="16.5" thickBot="1" x14ac:dyDescent="0.4">
      <c r="A44" s="31"/>
      <c r="B44" s="31"/>
      <c r="C44" s="116"/>
      <c r="D44" s="31"/>
      <c r="E44" s="31"/>
      <c r="F44" s="31"/>
      <c r="G44" s="31"/>
      <c r="H44" s="31"/>
      <c r="M44" s="150" t="s">
        <v>54</v>
      </c>
      <c r="N44" s="142">
        <f>SUM(N41:N43)</f>
        <v>0</v>
      </c>
      <c r="O44" s="12"/>
      <c r="P44" s="788"/>
      <c r="Q44" s="788"/>
      <c r="R44" s="788"/>
      <c r="S44" s="747"/>
      <c r="T44" s="747"/>
      <c r="U44" s="271"/>
      <c r="V44" s="272" t="s">
        <v>53</v>
      </c>
      <c r="X44" s="118" t="e">
        <f>N42*100/(S41+N41+N42+N43+N50)</f>
        <v>#VALUE!</v>
      </c>
    </row>
    <row r="45" spans="1:24" ht="16.5" thickBot="1" x14ac:dyDescent="0.4">
      <c r="A45" s="31"/>
      <c r="B45" s="31"/>
      <c r="C45" s="116"/>
      <c r="D45" s="31"/>
      <c r="E45" s="31"/>
      <c r="F45" s="31"/>
      <c r="G45" s="31"/>
      <c r="H45" s="31"/>
      <c r="O45" s="12"/>
      <c r="P45" s="748" t="s">
        <v>57</v>
      </c>
      <c r="Q45" s="749"/>
      <c r="R45" s="749"/>
      <c r="S45" s="750" t="e">
        <f>X56</f>
        <v>#VALUE!</v>
      </c>
      <c r="T45" s="751"/>
      <c r="U45" s="247"/>
      <c r="V45" s="12" t="s">
        <v>113</v>
      </c>
      <c r="X45" s="118" t="e">
        <f>0.1*(S41+N41+N42+N43+N50)</f>
        <v>#VALUE!</v>
      </c>
    </row>
    <row r="46" spans="1:24" ht="16.5" thickBot="1" x14ac:dyDescent="0.4">
      <c r="A46" s="31"/>
      <c r="B46" s="31"/>
      <c r="C46" s="116"/>
      <c r="D46" s="31"/>
      <c r="E46" s="31"/>
      <c r="F46" s="31"/>
      <c r="G46" s="31"/>
      <c r="H46" s="31"/>
      <c r="M46" s="152" t="s">
        <v>66</v>
      </c>
      <c r="N46" s="140" t="str">
        <f>IF(CDP!D$30="SV",CDP!C$30,"")</f>
        <v/>
      </c>
      <c r="O46" s="9"/>
      <c r="P46" s="752" t="s">
        <v>62</v>
      </c>
      <c r="Q46" s="753"/>
      <c r="R46" s="753"/>
      <c r="S46" s="5" t="e">
        <f>IF(R30=0,0,S45*100/R30)</f>
        <v>#VALUE!</v>
      </c>
      <c r="T46" s="6" t="s">
        <v>41</v>
      </c>
      <c r="U46" s="247"/>
      <c r="V46" s="12" t="s">
        <v>60</v>
      </c>
      <c r="X46" s="118" t="str">
        <f>N42</f>
        <v/>
      </c>
    </row>
    <row r="47" spans="1:24" ht="16.5" thickBot="1" x14ac:dyDescent="0.4">
      <c r="A47" s="31"/>
      <c r="B47" s="31"/>
      <c r="C47" s="116"/>
      <c r="D47" s="31"/>
      <c r="E47" s="31"/>
      <c r="F47" s="31"/>
      <c r="G47" s="31"/>
      <c r="H47" s="31"/>
      <c r="M47" s="153" t="s">
        <v>70</v>
      </c>
      <c r="N47" s="140" t="str">
        <f>IF(CDP!D$31="SV",CDP!C$31,"")</f>
        <v/>
      </c>
      <c r="O47" s="9"/>
      <c r="P47" s="752" t="s">
        <v>69</v>
      </c>
      <c r="Q47" s="753"/>
      <c r="R47" s="753"/>
      <c r="S47" s="770" t="e">
        <f>X54</f>
        <v>#VALUE!</v>
      </c>
      <c r="T47" s="771"/>
      <c r="U47" s="247"/>
      <c r="V47" s="10" t="s">
        <v>65</v>
      </c>
      <c r="X47" s="118" t="e">
        <f>IF(X46&gt;X45,X45,X46)</f>
        <v>#VALUE!</v>
      </c>
    </row>
    <row r="48" spans="1:24" ht="16.5" thickBot="1" x14ac:dyDescent="0.4">
      <c r="A48" s="31"/>
      <c r="B48" s="31"/>
      <c r="C48" s="116"/>
      <c r="D48" s="31"/>
      <c r="E48" s="31"/>
      <c r="F48" s="31"/>
      <c r="G48" s="31"/>
      <c r="H48" s="31"/>
      <c r="M48" s="153" t="s">
        <v>72</v>
      </c>
      <c r="N48" s="140" t="str">
        <f>IF(CDP!D$32="SV",CDP!C$32,"")</f>
        <v/>
      </c>
      <c r="O48" s="9"/>
      <c r="P48" s="752" t="s">
        <v>71</v>
      </c>
      <c r="Q48" s="753"/>
      <c r="R48" s="753"/>
      <c r="S48" s="5" t="e">
        <f>IF(R30=0,0,S47*100/R30)</f>
        <v>#VALUE!</v>
      </c>
      <c r="T48" s="6" t="s">
        <v>41</v>
      </c>
      <c r="U48" s="271"/>
      <c r="V48" s="270"/>
      <c r="W48" s="66"/>
    </row>
    <row r="49" spans="1:24" ht="16.5" thickBot="1" x14ac:dyDescent="0.4">
      <c r="A49" s="31"/>
      <c r="B49" s="31"/>
      <c r="C49" s="31"/>
      <c r="D49" s="31"/>
      <c r="E49" s="31"/>
      <c r="F49" s="31"/>
      <c r="G49" s="31"/>
      <c r="H49" s="31"/>
      <c r="M49" s="153" t="s">
        <v>75</v>
      </c>
      <c r="N49" s="140" t="str">
        <f>IF(CDP!D$33="SV",CDP!C$33,"")</f>
        <v/>
      </c>
      <c r="O49" s="67"/>
      <c r="P49" s="754" t="s">
        <v>67</v>
      </c>
      <c r="Q49" s="755"/>
      <c r="R49" s="755"/>
      <c r="S49" s="756" t="e">
        <f>IF(N44&lt;S45,0,N44-S45)</f>
        <v>#VALUE!</v>
      </c>
      <c r="T49" s="757"/>
      <c r="U49" s="271"/>
      <c r="V49" s="270" t="s">
        <v>115</v>
      </c>
      <c r="X49" s="118" t="e">
        <f>X45+N41+N43</f>
        <v>#VALUE!</v>
      </c>
    </row>
    <row r="50" spans="1:24" ht="16.5" thickBot="1" x14ac:dyDescent="0.4">
      <c r="A50" s="31"/>
      <c r="B50" s="31"/>
      <c r="C50" s="31"/>
      <c r="D50" s="31"/>
      <c r="E50" s="31"/>
      <c r="F50" s="31"/>
      <c r="G50" s="31"/>
      <c r="H50" s="31"/>
      <c r="M50" s="154" t="s">
        <v>80</v>
      </c>
      <c r="N50" s="143">
        <f>SUM(N46:N49)</f>
        <v>0</v>
      </c>
      <c r="O50" s="12"/>
      <c r="P50" s="788"/>
      <c r="Q50" s="788"/>
      <c r="R50" s="788"/>
      <c r="S50" s="747"/>
      <c r="T50" s="747"/>
      <c r="U50" s="271"/>
      <c r="V50" s="270" t="s">
        <v>116</v>
      </c>
      <c r="X50" s="118" t="e">
        <f>X47+N41+N43</f>
        <v>#VALUE!</v>
      </c>
    </row>
    <row r="51" spans="1:24" ht="17" thickBot="1" x14ac:dyDescent="0.4">
      <c r="A51" s="31"/>
      <c r="B51" s="31"/>
      <c r="C51" s="31"/>
      <c r="D51" s="31"/>
      <c r="E51" s="31"/>
      <c r="F51" s="31"/>
      <c r="G51" s="31"/>
      <c r="H51" s="31"/>
      <c r="M51" s="155" t="s">
        <v>61</v>
      </c>
      <c r="N51" s="156">
        <f>N50+N44+N39</f>
        <v>0</v>
      </c>
      <c r="O51" s="12"/>
      <c r="P51" s="798" t="s">
        <v>76</v>
      </c>
      <c r="Q51" s="799"/>
      <c r="R51" s="799"/>
      <c r="S51" s="800" t="e">
        <f>IF(OR(X71&gt;X70,X71=X70),X72,X80)</f>
        <v>#VALUE!</v>
      </c>
      <c r="T51" s="801"/>
      <c r="U51" s="247"/>
      <c r="V51" s="272" t="s">
        <v>74</v>
      </c>
      <c r="X51" s="118" t="e">
        <f>N42-(1/0.9)*(N42)+(0.1/0.9)*(S41+N41+N42+N43+N46+N47+N48+N49+N50)</f>
        <v>#VALUE!</v>
      </c>
    </row>
    <row r="52" spans="1:24" x14ac:dyDescent="0.35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M52" s="10"/>
      <c r="N52" s="10"/>
      <c r="O52" s="12"/>
      <c r="P52" s="752" t="s">
        <v>62</v>
      </c>
      <c r="Q52" s="753"/>
      <c r="R52" s="753"/>
      <c r="S52" s="5" t="e">
        <f>IF(R30=0,0,S51*100/R30)</f>
        <v>#VALUE!</v>
      </c>
      <c r="T52" s="6" t="s">
        <v>41</v>
      </c>
      <c r="U52" s="247"/>
      <c r="V52" s="270" t="s">
        <v>117</v>
      </c>
      <c r="X52" s="118" t="e">
        <f>IF(X51=0,0,IF(N42&gt;X51,X51,N42))</f>
        <v>#VALUE!</v>
      </c>
    </row>
    <row r="53" spans="1:24" x14ac:dyDescent="0.35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116"/>
      <c r="M53" s="10"/>
      <c r="N53" s="10"/>
      <c r="O53" s="12"/>
      <c r="P53" s="752" t="s">
        <v>83</v>
      </c>
      <c r="Q53" s="753"/>
      <c r="R53" s="753"/>
      <c r="S53" s="770" t="e">
        <f>IF(OR(X71&gt;X70,X71=X70),X69,X76)</f>
        <v>#VALUE!</v>
      </c>
      <c r="T53" s="771"/>
      <c r="U53" s="247"/>
      <c r="V53" s="270" t="s">
        <v>119</v>
      </c>
      <c r="X53" s="118" t="e">
        <f>IF(X52&gt;X43,X43,X52)</f>
        <v>#VALUE!</v>
      </c>
    </row>
    <row r="54" spans="1:24" x14ac:dyDescent="0.3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116"/>
      <c r="M54" s="10"/>
      <c r="N54" s="10"/>
      <c r="O54" s="9"/>
      <c r="P54" s="752" t="s">
        <v>71</v>
      </c>
      <c r="Q54" s="753"/>
      <c r="R54" s="753"/>
      <c r="S54" s="5" t="e">
        <f>IF(R30=0,0,S53*100/R30)</f>
        <v>#VALUE!</v>
      </c>
      <c r="T54" s="6" t="s">
        <v>41</v>
      </c>
      <c r="U54" s="271"/>
      <c r="V54" s="270" t="s">
        <v>122</v>
      </c>
      <c r="X54" s="118" t="e">
        <f>IF(X46&gt;X53,X53,X46)</f>
        <v>#VALUE!</v>
      </c>
    </row>
    <row r="55" spans="1:24" ht="16.5" thickBot="1" x14ac:dyDescent="0.4">
      <c r="B55" s="31"/>
      <c r="C55" s="31"/>
      <c r="D55" s="31"/>
      <c r="E55" s="31"/>
      <c r="F55" s="31"/>
      <c r="G55" s="31"/>
      <c r="H55" s="31"/>
      <c r="I55" s="31"/>
      <c r="J55" s="31"/>
      <c r="K55" s="116"/>
      <c r="M55" s="10"/>
      <c r="N55" s="10"/>
      <c r="O55" s="10"/>
      <c r="P55" s="794" t="s">
        <v>88</v>
      </c>
      <c r="Q55" s="795"/>
      <c r="R55" s="795"/>
      <c r="S55" s="768" t="e">
        <f>IF(N50&lt;S51,0,N50-S51)</f>
        <v>#VALUE!</v>
      </c>
      <c r="T55" s="769"/>
      <c r="U55" s="247"/>
    </row>
    <row r="56" spans="1:24" s="234" customFormat="1" x14ac:dyDescent="0.35">
      <c r="A56" s="286"/>
      <c r="B56" s="286"/>
      <c r="C56" s="286"/>
      <c r="D56" s="286"/>
      <c r="E56" s="286"/>
      <c r="F56" s="286"/>
      <c r="G56" s="286"/>
      <c r="H56" s="286"/>
      <c r="I56" s="286"/>
      <c r="J56" s="286"/>
      <c r="K56" s="288"/>
      <c r="L56" s="286"/>
      <c r="M56" s="595"/>
      <c r="N56" s="595"/>
      <c r="O56" s="595"/>
      <c r="P56" s="595"/>
      <c r="Q56" s="595"/>
      <c r="R56" s="596"/>
      <c r="S56" s="596"/>
      <c r="T56" s="596"/>
      <c r="U56" s="297"/>
      <c r="V56" s="298" t="s">
        <v>110</v>
      </c>
      <c r="W56" s="299"/>
      <c r="X56" s="236" t="e">
        <f>X54+N41+N43</f>
        <v>#VALUE!</v>
      </c>
    </row>
    <row r="57" spans="1:24" s="234" customFormat="1" ht="16.149999999999999" customHeight="1" x14ac:dyDescent="0.35">
      <c r="A57" s="286"/>
      <c r="B57" s="286"/>
      <c r="C57" s="286"/>
      <c r="D57" s="286"/>
      <c r="E57" s="286"/>
      <c r="F57" s="286"/>
      <c r="G57" s="286"/>
      <c r="H57" s="286"/>
      <c r="I57" s="286"/>
      <c r="J57" s="286"/>
      <c r="K57" s="288"/>
      <c r="L57" s="286"/>
      <c r="U57" s="300"/>
      <c r="X57" s="236"/>
    </row>
    <row r="58" spans="1:24" s="234" customFormat="1" ht="16.149999999999999" customHeight="1" x14ac:dyDescent="0.35">
      <c r="A58" s="286"/>
      <c r="B58" s="286"/>
      <c r="C58" s="286"/>
      <c r="D58" s="286"/>
      <c r="E58" s="286"/>
      <c r="F58" s="286"/>
      <c r="G58" s="286"/>
      <c r="H58" s="286"/>
      <c r="I58" s="286"/>
      <c r="J58" s="286"/>
      <c r="K58" s="288"/>
      <c r="L58" s="286"/>
      <c r="U58" s="239"/>
      <c r="V58" s="298" t="s">
        <v>44</v>
      </c>
      <c r="W58" s="299"/>
      <c r="X58" s="236" t="e">
        <f>IF(X43=X40,0,IF(X43&lt;X40,X40-X43,""))</f>
        <v>#VALUE!</v>
      </c>
    </row>
    <row r="59" spans="1:24" s="234" customFormat="1" x14ac:dyDescent="0.35">
      <c r="A59" s="286"/>
      <c r="B59" s="286"/>
      <c r="C59" s="286"/>
      <c r="D59" s="286"/>
      <c r="E59" s="286"/>
      <c r="F59" s="286"/>
      <c r="G59" s="286"/>
      <c r="H59" s="286"/>
      <c r="I59" s="286"/>
      <c r="J59" s="286"/>
      <c r="K59" s="288"/>
      <c r="L59" s="286"/>
      <c r="U59" s="239"/>
      <c r="V59" s="298" t="s">
        <v>48</v>
      </c>
      <c r="W59" s="299"/>
      <c r="X59" s="236" t="e">
        <f>IF(X58&lt;N48+N47+N49+N46,X58,N48+N47+N49+N46)</f>
        <v>#VALUE!</v>
      </c>
    </row>
    <row r="60" spans="1:24" s="234" customFormat="1" x14ac:dyDescent="0.35">
      <c r="A60" s="286"/>
      <c r="B60" s="286"/>
      <c r="C60" s="286"/>
      <c r="D60" s="286"/>
      <c r="E60" s="286"/>
      <c r="F60" s="286"/>
      <c r="G60" s="286"/>
      <c r="H60" s="286"/>
      <c r="I60" s="286"/>
      <c r="J60" s="286"/>
      <c r="K60" s="288"/>
      <c r="L60" s="286"/>
      <c r="U60" s="239"/>
      <c r="V60" s="235" t="s">
        <v>55</v>
      </c>
      <c r="W60" s="299"/>
      <c r="X60" s="238" t="e">
        <f>IF(X59=0,0,X59*100/X64)</f>
        <v>#VALUE!</v>
      </c>
    </row>
    <row r="61" spans="1:24" s="234" customFormat="1" x14ac:dyDescent="0.35">
      <c r="A61" s="286"/>
      <c r="B61" s="286"/>
      <c r="C61" s="286"/>
      <c r="D61" s="286"/>
      <c r="E61" s="286"/>
      <c r="F61" s="286"/>
      <c r="G61" s="286"/>
      <c r="H61" s="286"/>
      <c r="I61" s="286"/>
      <c r="J61" s="286"/>
      <c r="K61" s="288"/>
      <c r="L61" s="286"/>
      <c r="U61" s="239"/>
      <c r="V61" s="235" t="s">
        <v>59</v>
      </c>
      <c r="W61" s="299"/>
      <c r="X61" s="236" t="e">
        <f>IF(X59=0,0,IF(X60&gt;20,0.25*X64-0.25*X59,X59))</f>
        <v>#VALUE!</v>
      </c>
    </row>
    <row r="62" spans="1:24" s="234" customFormat="1" x14ac:dyDescent="0.35">
      <c r="A62" s="286"/>
      <c r="B62" s="286"/>
      <c r="C62" s="286"/>
      <c r="D62" s="286"/>
      <c r="E62" s="286"/>
      <c r="F62" s="286"/>
      <c r="G62" s="286"/>
      <c r="H62" s="286"/>
      <c r="I62" s="286"/>
      <c r="J62" s="286"/>
      <c r="K62" s="288"/>
      <c r="L62" s="286"/>
      <c r="V62" s="235"/>
      <c r="W62" s="299"/>
      <c r="X62" s="236"/>
    </row>
    <row r="63" spans="1:24" s="234" customFormat="1" x14ac:dyDescent="0.35">
      <c r="A63" s="286"/>
      <c r="B63" s="286"/>
      <c r="C63" s="286"/>
      <c r="D63" s="286"/>
      <c r="E63" s="286"/>
      <c r="F63" s="286"/>
      <c r="G63" s="286"/>
      <c r="H63" s="286"/>
      <c r="I63" s="286"/>
      <c r="J63" s="286"/>
      <c r="K63" s="288"/>
      <c r="L63" s="286"/>
      <c r="V63" s="235"/>
      <c r="W63" s="299"/>
      <c r="X63" s="236"/>
    </row>
    <row r="64" spans="1:24" s="234" customFormat="1" x14ac:dyDescent="0.35">
      <c r="A64" s="286"/>
      <c r="B64" s="286"/>
      <c r="C64" s="286"/>
      <c r="D64" s="286"/>
      <c r="E64" s="286"/>
      <c r="F64" s="286"/>
      <c r="G64" s="286"/>
      <c r="H64" s="286"/>
      <c r="I64" s="286"/>
      <c r="J64" s="286"/>
      <c r="K64" s="288"/>
      <c r="L64" s="286"/>
      <c r="V64" s="235" t="s">
        <v>64</v>
      </c>
      <c r="W64" s="299"/>
      <c r="X64" s="236" t="e">
        <f>S41+S45+X59</f>
        <v>#VALUE!</v>
      </c>
    </row>
    <row r="65" spans="1:24" s="234" customFormat="1" x14ac:dyDescent="0.35">
      <c r="A65" s="286"/>
      <c r="B65" s="286"/>
      <c r="C65" s="286"/>
      <c r="D65" s="286"/>
      <c r="E65" s="286"/>
      <c r="F65" s="286"/>
      <c r="G65" s="286"/>
      <c r="H65" s="286"/>
      <c r="I65" s="286"/>
      <c r="J65" s="286"/>
      <c r="K65" s="288"/>
      <c r="L65" s="286"/>
      <c r="V65" s="235" t="s">
        <v>68</v>
      </c>
      <c r="W65" s="301"/>
      <c r="X65" s="236" t="e">
        <f>S41+S45+X61</f>
        <v>#VALUE!</v>
      </c>
    </row>
    <row r="66" spans="1:24" s="234" customFormat="1" x14ac:dyDescent="0.35">
      <c r="A66" s="286"/>
      <c r="B66" s="286"/>
      <c r="C66" s="286"/>
      <c r="D66" s="286"/>
      <c r="E66" s="286"/>
      <c r="F66" s="286"/>
      <c r="G66" s="286"/>
      <c r="H66" s="286"/>
      <c r="I66" s="286"/>
      <c r="J66" s="286"/>
      <c r="K66" s="288"/>
      <c r="L66" s="286"/>
      <c r="V66" s="298"/>
      <c r="W66" s="301"/>
      <c r="X66" s="236"/>
    </row>
    <row r="67" spans="1:24" s="234" customFormat="1" x14ac:dyDescent="0.35">
      <c r="A67" s="286"/>
      <c r="B67" s="286"/>
      <c r="C67" s="286"/>
      <c r="D67" s="286"/>
      <c r="E67" s="286"/>
      <c r="F67" s="286"/>
      <c r="G67" s="286"/>
      <c r="H67" s="286"/>
      <c r="I67" s="286"/>
      <c r="J67" s="286"/>
      <c r="K67" s="288"/>
      <c r="L67" s="286"/>
      <c r="V67" s="235" t="s">
        <v>74</v>
      </c>
      <c r="W67" s="301"/>
      <c r="X67" s="236" t="e">
        <f>(N47+N48+N49)-(1/0.9)*(N47+N48+N49)+(0.1/0.9)*(S41+S45+N47+N48+N49+N46)</f>
        <v>#VALUE!</v>
      </c>
    </row>
    <row r="68" spans="1:24" s="234" customFormat="1" x14ac:dyDescent="0.35">
      <c r="A68" s="286"/>
      <c r="B68" s="286"/>
      <c r="C68" s="286"/>
      <c r="D68" s="286"/>
      <c r="E68" s="286"/>
      <c r="F68" s="286"/>
      <c r="G68" s="286"/>
      <c r="H68" s="286"/>
      <c r="I68" s="286"/>
      <c r="J68" s="286"/>
      <c r="K68" s="288"/>
      <c r="L68" s="286"/>
      <c r="V68" s="235" t="s">
        <v>78</v>
      </c>
      <c r="W68" s="301"/>
      <c r="X68" s="236" t="e">
        <f>IF(X67=0,0,IF(N47+N48+N49&gt;X67,X67,N47+N48+N49))</f>
        <v>#VALUE!</v>
      </c>
    </row>
    <row r="69" spans="1:24" s="234" customFormat="1" x14ac:dyDescent="0.35">
      <c r="A69" s="286"/>
      <c r="B69" s="286"/>
      <c r="C69" s="286"/>
      <c r="D69" s="286"/>
      <c r="E69" s="286"/>
      <c r="F69" s="286"/>
      <c r="G69" s="286"/>
      <c r="H69" s="286"/>
      <c r="I69" s="286"/>
      <c r="J69" s="286"/>
      <c r="K69" s="288"/>
      <c r="L69" s="286"/>
      <c r="V69" s="235" t="s">
        <v>81</v>
      </c>
      <c r="W69" s="301"/>
      <c r="X69" s="236" t="e">
        <f>IF(X68&gt;X61,X61,X68)</f>
        <v>#VALUE!</v>
      </c>
    </row>
    <row r="70" spans="1:24" s="234" customFormat="1" x14ac:dyDescent="0.35">
      <c r="A70" s="286"/>
      <c r="B70" s="286"/>
      <c r="C70" s="286"/>
      <c r="D70" s="286"/>
      <c r="E70" s="286"/>
      <c r="F70" s="286"/>
      <c r="G70" s="286"/>
      <c r="H70" s="286"/>
      <c r="I70" s="286"/>
      <c r="J70" s="286"/>
      <c r="K70" s="288"/>
      <c r="L70" s="286"/>
      <c r="V70" s="235" t="s">
        <v>84</v>
      </c>
      <c r="W70" s="301"/>
      <c r="X70" s="238" t="e">
        <f>X61-X69</f>
        <v>#VALUE!</v>
      </c>
    </row>
    <row r="71" spans="1:24" s="234" customFormat="1" x14ac:dyDescent="0.35">
      <c r="A71" s="286"/>
      <c r="B71" s="286"/>
      <c r="C71" s="286"/>
      <c r="D71" s="286"/>
      <c r="E71" s="286"/>
      <c r="F71" s="286"/>
      <c r="G71" s="286"/>
      <c r="H71" s="286"/>
      <c r="I71" s="286"/>
      <c r="J71" s="286"/>
      <c r="K71" s="288"/>
      <c r="L71" s="286"/>
      <c r="V71" s="235" t="s">
        <v>87</v>
      </c>
      <c r="W71" s="301"/>
      <c r="X71" s="236" t="e">
        <f>IF(N46=0,0,IF(N46&gt;X70,X70,N46))</f>
        <v>#VALUE!</v>
      </c>
    </row>
    <row r="72" spans="1:24" s="234" customFormat="1" x14ac:dyDescent="0.35">
      <c r="A72" s="286"/>
      <c r="B72" s="286"/>
      <c r="C72" s="286"/>
      <c r="D72" s="286"/>
      <c r="E72" s="286"/>
      <c r="F72" s="286"/>
      <c r="G72" s="286"/>
      <c r="H72" s="286"/>
      <c r="I72" s="286"/>
      <c r="J72" s="286"/>
      <c r="K72" s="288"/>
      <c r="L72" s="286"/>
      <c r="V72" s="235" t="s">
        <v>90</v>
      </c>
      <c r="X72" s="236" t="e">
        <f>X71+X69</f>
        <v>#VALUE!</v>
      </c>
    </row>
    <row r="73" spans="1:24" s="234" customFormat="1" x14ac:dyDescent="0.35">
      <c r="A73" s="286"/>
      <c r="B73" s="286"/>
      <c r="C73" s="286"/>
      <c r="D73" s="286"/>
      <c r="E73" s="286"/>
      <c r="F73" s="286"/>
      <c r="G73" s="286"/>
      <c r="H73" s="286"/>
      <c r="I73" s="286"/>
      <c r="J73" s="286"/>
      <c r="K73" s="288"/>
      <c r="L73" s="286"/>
      <c r="V73" s="235" t="s">
        <v>68</v>
      </c>
      <c r="X73" s="236" t="e">
        <f>S41+S45+X72</f>
        <v>#VALUE!</v>
      </c>
    </row>
    <row r="74" spans="1:24" s="234" customFormat="1" x14ac:dyDescent="0.35">
      <c r="A74" s="286"/>
      <c r="B74" s="286"/>
      <c r="C74" s="286"/>
      <c r="D74" s="286"/>
      <c r="E74" s="286"/>
      <c r="F74" s="286"/>
      <c r="G74" s="286"/>
      <c r="H74" s="286"/>
      <c r="I74" s="286"/>
      <c r="J74" s="286"/>
      <c r="K74" s="288"/>
      <c r="L74" s="286"/>
      <c r="V74" s="235"/>
      <c r="X74" s="236"/>
    </row>
    <row r="75" spans="1:24" s="234" customFormat="1" x14ac:dyDescent="0.35">
      <c r="A75" s="286"/>
      <c r="B75" s="286"/>
      <c r="C75" s="286"/>
      <c r="D75" s="286"/>
      <c r="E75" s="286"/>
      <c r="F75" s="286"/>
      <c r="G75" s="286"/>
      <c r="H75" s="286"/>
      <c r="I75" s="286"/>
      <c r="J75" s="286"/>
      <c r="K75" s="288"/>
      <c r="L75" s="286"/>
      <c r="V75" s="235" t="s">
        <v>96</v>
      </c>
      <c r="X75" s="236" t="e">
        <f>0.1*X73</f>
        <v>#VALUE!</v>
      </c>
    </row>
    <row r="76" spans="1:24" s="234" customFormat="1" x14ac:dyDescent="0.35">
      <c r="A76" s="286"/>
      <c r="B76" s="286"/>
      <c r="C76" s="286"/>
      <c r="D76" s="286"/>
      <c r="E76" s="286"/>
      <c r="F76" s="286"/>
      <c r="G76" s="286"/>
      <c r="H76" s="286"/>
      <c r="I76" s="286"/>
      <c r="J76" s="286"/>
      <c r="K76" s="288"/>
      <c r="L76" s="286"/>
      <c r="V76" s="235" t="s">
        <v>78</v>
      </c>
      <c r="X76" s="236" t="e">
        <f>IF(X75=0,0,IF(N47+N48+N49&gt;X75,X75,N47+N48+N49))</f>
        <v>#VALUE!</v>
      </c>
    </row>
    <row r="77" spans="1:24" s="234" customFormat="1" x14ac:dyDescent="0.35">
      <c r="A77" s="286"/>
      <c r="B77" s="286"/>
      <c r="C77" s="286"/>
      <c r="D77" s="286"/>
      <c r="E77" s="286"/>
      <c r="F77" s="286"/>
      <c r="G77" s="286"/>
      <c r="H77" s="286"/>
      <c r="I77" s="286"/>
      <c r="J77" s="286"/>
      <c r="K77" s="288"/>
      <c r="L77" s="286"/>
      <c r="V77" s="235"/>
      <c r="X77" s="236"/>
    </row>
    <row r="78" spans="1:24" s="234" customFormat="1" x14ac:dyDescent="0.35">
      <c r="A78" s="286"/>
      <c r="B78" s="286"/>
      <c r="C78" s="286"/>
      <c r="D78" s="286"/>
      <c r="E78" s="286"/>
      <c r="F78" s="286"/>
      <c r="G78" s="286"/>
      <c r="H78" s="286"/>
      <c r="I78" s="286"/>
      <c r="J78" s="286"/>
      <c r="K78" s="288"/>
      <c r="L78" s="286"/>
      <c r="V78" s="235" t="s">
        <v>84</v>
      </c>
      <c r="X78" s="236" t="e">
        <f>X61-X76</f>
        <v>#VALUE!</v>
      </c>
    </row>
    <row r="79" spans="1:24" s="234" customFormat="1" x14ac:dyDescent="0.35">
      <c r="A79" s="286"/>
      <c r="B79" s="286"/>
      <c r="C79" s="286"/>
      <c r="D79" s="286"/>
      <c r="E79" s="286"/>
      <c r="F79" s="286"/>
      <c r="G79" s="286"/>
      <c r="H79" s="286"/>
      <c r="I79" s="286"/>
      <c r="J79" s="286"/>
      <c r="K79" s="288"/>
      <c r="L79" s="286"/>
      <c r="V79" s="235" t="s">
        <v>87</v>
      </c>
      <c r="X79" s="236" t="e">
        <f>IF(N46=0,0,IF(N46&gt;X78,X78,N46))</f>
        <v>#VALUE!</v>
      </c>
    </row>
    <row r="80" spans="1:24" s="234" customFormat="1" x14ac:dyDescent="0.35">
      <c r="A80" s="286"/>
      <c r="B80" s="286"/>
      <c r="C80" s="286"/>
      <c r="D80" s="286"/>
      <c r="E80" s="286"/>
      <c r="F80" s="286"/>
      <c r="G80" s="286"/>
      <c r="H80" s="286"/>
      <c r="I80" s="286"/>
      <c r="J80" s="286"/>
      <c r="K80" s="288"/>
      <c r="L80" s="286"/>
      <c r="V80" s="235" t="s">
        <v>90</v>
      </c>
      <c r="X80" s="236" t="e">
        <f>X79+X76</f>
        <v>#VALUE!</v>
      </c>
    </row>
    <row r="81" spans="1:24" s="234" customFormat="1" x14ac:dyDescent="0.35">
      <c r="A81" s="286"/>
      <c r="B81" s="286"/>
      <c r="C81" s="286"/>
      <c r="D81" s="286"/>
      <c r="E81" s="286"/>
      <c r="F81" s="286"/>
      <c r="G81" s="286"/>
      <c r="H81" s="286"/>
      <c r="I81" s="286"/>
      <c r="J81" s="286"/>
      <c r="K81" s="288"/>
      <c r="L81" s="286"/>
      <c r="X81" s="236"/>
    </row>
    <row r="82" spans="1:24" s="234" customFormat="1" x14ac:dyDescent="0.35">
      <c r="A82" s="286"/>
      <c r="B82" s="286"/>
      <c r="C82" s="286"/>
      <c r="D82" s="286"/>
      <c r="E82" s="286"/>
      <c r="F82" s="286"/>
      <c r="G82" s="286"/>
      <c r="H82" s="286"/>
      <c r="I82" s="286"/>
      <c r="J82" s="286"/>
      <c r="K82" s="288"/>
      <c r="L82" s="286"/>
      <c r="X82" s="236"/>
    </row>
    <row r="83" spans="1:24" s="234" customFormat="1" x14ac:dyDescent="0.35">
      <c r="A83" s="286"/>
      <c r="B83" s="286"/>
      <c r="C83" s="286"/>
      <c r="D83" s="286"/>
      <c r="E83" s="286"/>
      <c r="F83" s="286"/>
      <c r="G83" s="286"/>
      <c r="H83" s="286"/>
      <c r="I83" s="286"/>
      <c r="J83" s="286"/>
      <c r="K83" s="288"/>
      <c r="L83" s="286"/>
      <c r="X83" s="236"/>
    </row>
    <row r="84" spans="1:24" s="234" customFormat="1" x14ac:dyDescent="0.35">
      <c r="A84" s="286"/>
      <c r="B84" s="286"/>
      <c r="C84" s="286"/>
      <c r="D84" s="286"/>
      <c r="E84" s="286"/>
      <c r="F84" s="286"/>
      <c r="G84" s="286"/>
      <c r="H84" s="286"/>
      <c r="I84" s="286"/>
      <c r="J84" s="286"/>
      <c r="K84" s="288"/>
      <c r="L84" s="286"/>
      <c r="X84" s="236"/>
    </row>
    <row r="85" spans="1:24" s="234" customFormat="1" x14ac:dyDescent="0.35">
      <c r="A85" s="286"/>
      <c r="B85" s="286"/>
      <c r="C85" s="286"/>
      <c r="D85" s="286"/>
      <c r="E85" s="286"/>
      <c r="F85" s="286"/>
      <c r="G85" s="286"/>
      <c r="H85" s="286"/>
      <c r="I85" s="286"/>
      <c r="J85" s="286"/>
      <c r="K85" s="288"/>
      <c r="L85" s="286"/>
      <c r="X85" s="236"/>
    </row>
    <row r="86" spans="1:24" s="234" customFormat="1" x14ac:dyDescent="0.35">
      <c r="A86" s="286"/>
      <c r="B86" s="286"/>
      <c r="C86" s="286"/>
      <c r="D86" s="286"/>
      <c r="E86" s="286"/>
      <c r="F86" s="286"/>
      <c r="G86" s="286"/>
      <c r="H86" s="286"/>
      <c r="I86" s="286"/>
      <c r="J86" s="286"/>
      <c r="K86" s="288"/>
      <c r="L86" s="286"/>
      <c r="X86" s="236"/>
    </row>
    <row r="87" spans="1:24" s="234" customFormat="1" x14ac:dyDescent="0.35">
      <c r="A87" s="286"/>
      <c r="B87" s="286"/>
      <c r="C87" s="286"/>
      <c r="D87" s="286"/>
      <c r="E87" s="286"/>
      <c r="F87" s="286"/>
      <c r="G87" s="286"/>
      <c r="H87" s="286"/>
      <c r="I87" s="286"/>
      <c r="J87" s="286"/>
      <c r="K87" s="288"/>
      <c r="L87" s="286"/>
      <c r="X87" s="236"/>
    </row>
    <row r="88" spans="1:24" s="234" customFormat="1" x14ac:dyDescent="0.35">
      <c r="A88" s="286"/>
      <c r="B88" s="286"/>
      <c r="C88" s="286"/>
      <c r="D88" s="286"/>
      <c r="E88" s="286"/>
      <c r="F88" s="286"/>
      <c r="G88" s="286"/>
      <c r="H88" s="286"/>
      <c r="I88" s="286"/>
      <c r="J88" s="286"/>
      <c r="K88" s="288"/>
      <c r="L88" s="286"/>
      <c r="X88" s="236"/>
    </row>
    <row r="89" spans="1:24" s="234" customFormat="1" x14ac:dyDescent="0.35">
      <c r="A89" s="286"/>
      <c r="B89" s="286"/>
      <c r="C89" s="286"/>
      <c r="D89" s="286"/>
      <c r="E89" s="286"/>
      <c r="F89" s="286"/>
      <c r="G89" s="286"/>
      <c r="H89" s="286"/>
      <c r="I89" s="286"/>
      <c r="J89" s="286"/>
      <c r="K89" s="288"/>
      <c r="L89" s="286"/>
      <c r="X89" s="236"/>
    </row>
    <row r="90" spans="1:24" s="234" customFormat="1" x14ac:dyDescent="0.35">
      <c r="A90" s="286"/>
      <c r="B90" s="286"/>
      <c r="C90" s="286"/>
      <c r="D90" s="286"/>
      <c r="E90" s="286"/>
      <c r="F90" s="286"/>
      <c r="G90" s="286"/>
      <c r="H90" s="286"/>
      <c r="I90" s="286"/>
      <c r="J90" s="286"/>
      <c r="K90" s="288"/>
      <c r="L90" s="286"/>
      <c r="X90" s="236"/>
    </row>
    <row r="91" spans="1:24" s="234" customFormat="1" x14ac:dyDescent="0.35">
      <c r="A91" s="286"/>
      <c r="B91" s="286"/>
      <c r="C91" s="286"/>
      <c r="D91" s="286"/>
      <c r="E91" s="286"/>
      <c r="F91" s="286"/>
      <c r="G91" s="286"/>
      <c r="H91" s="286"/>
      <c r="I91" s="286"/>
      <c r="J91" s="286"/>
      <c r="K91" s="288"/>
      <c r="L91" s="286"/>
      <c r="X91" s="236"/>
    </row>
    <row r="92" spans="1:24" s="234" customFormat="1" x14ac:dyDescent="0.35">
      <c r="A92" s="286"/>
      <c r="B92" s="286"/>
      <c r="C92" s="286"/>
      <c r="D92" s="286"/>
      <c r="E92" s="286"/>
      <c r="F92" s="286"/>
      <c r="G92" s="286"/>
      <c r="H92" s="286"/>
      <c r="I92" s="286"/>
      <c r="J92" s="286"/>
      <c r="K92" s="288"/>
      <c r="L92" s="286"/>
      <c r="X92" s="236"/>
    </row>
    <row r="93" spans="1:24" s="234" customFormat="1" x14ac:dyDescent="0.35">
      <c r="A93" s="286"/>
      <c r="B93" s="286"/>
      <c r="C93" s="286"/>
      <c r="D93" s="286"/>
      <c r="E93" s="286"/>
      <c r="F93" s="286"/>
      <c r="G93" s="286"/>
      <c r="H93" s="286"/>
      <c r="I93" s="286"/>
      <c r="J93" s="286"/>
      <c r="K93" s="288"/>
      <c r="L93" s="286"/>
      <c r="X93" s="236"/>
    </row>
    <row r="94" spans="1:24" s="234" customFormat="1" x14ac:dyDescent="0.35">
      <c r="A94" s="286"/>
      <c r="B94" s="286"/>
      <c r="C94" s="286"/>
      <c r="D94" s="286"/>
      <c r="E94" s="286"/>
      <c r="F94" s="286"/>
      <c r="G94" s="286"/>
      <c r="H94" s="286"/>
      <c r="I94" s="286"/>
      <c r="J94" s="286"/>
      <c r="K94" s="288"/>
      <c r="L94" s="286"/>
      <c r="X94" s="236"/>
    </row>
    <row r="95" spans="1:24" s="234" customFormat="1" x14ac:dyDescent="0.35">
      <c r="A95" s="286"/>
      <c r="B95" s="286"/>
      <c r="C95" s="286"/>
      <c r="D95" s="286"/>
      <c r="E95" s="286"/>
      <c r="F95" s="286"/>
      <c r="G95" s="286"/>
      <c r="H95" s="286"/>
      <c r="I95" s="286"/>
      <c r="J95" s="286"/>
      <c r="K95" s="288"/>
      <c r="L95" s="286"/>
      <c r="X95" s="236"/>
    </row>
    <row r="96" spans="1:24" s="234" customFormat="1" x14ac:dyDescent="0.35">
      <c r="A96" s="286"/>
      <c r="B96" s="286"/>
      <c r="C96" s="286"/>
      <c r="D96" s="286"/>
      <c r="E96" s="286"/>
      <c r="F96" s="286"/>
      <c r="G96" s="286"/>
      <c r="H96" s="286"/>
      <c r="I96" s="286"/>
      <c r="J96" s="286"/>
      <c r="K96" s="288"/>
      <c r="L96" s="286"/>
      <c r="X96" s="236"/>
    </row>
    <row r="97" spans="1:24" s="234" customFormat="1" x14ac:dyDescent="0.35">
      <c r="A97" s="286"/>
      <c r="B97" s="286"/>
      <c r="C97" s="286"/>
      <c r="D97" s="286"/>
      <c r="E97" s="286"/>
      <c r="F97" s="286"/>
      <c r="G97" s="286"/>
      <c r="H97" s="286"/>
      <c r="I97" s="286"/>
      <c r="J97" s="286"/>
      <c r="K97" s="288"/>
      <c r="L97" s="286"/>
      <c r="X97" s="236"/>
    </row>
    <row r="98" spans="1:24" s="234" customFormat="1" x14ac:dyDescent="0.35">
      <c r="A98" s="286"/>
      <c r="B98" s="286"/>
      <c r="C98" s="286"/>
      <c r="D98" s="286"/>
      <c r="E98" s="286"/>
      <c r="F98" s="286"/>
      <c r="G98" s="286"/>
      <c r="H98" s="286"/>
      <c r="I98" s="286"/>
      <c r="J98" s="286"/>
      <c r="K98" s="288"/>
      <c r="L98" s="286"/>
      <c r="X98" s="236"/>
    </row>
    <row r="99" spans="1:24" s="234" customFormat="1" x14ac:dyDescent="0.35">
      <c r="A99" s="286"/>
      <c r="B99" s="286"/>
      <c r="C99" s="286"/>
      <c r="D99" s="286"/>
      <c r="E99" s="286"/>
      <c r="F99" s="286"/>
      <c r="G99" s="286"/>
      <c r="H99" s="286"/>
      <c r="I99" s="286"/>
      <c r="J99" s="286"/>
      <c r="K99" s="288"/>
      <c r="L99" s="286"/>
      <c r="X99" s="236"/>
    </row>
    <row r="100" spans="1:24" s="234" customFormat="1" x14ac:dyDescent="0.35">
      <c r="A100" s="286"/>
      <c r="B100" s="286"/>
      <c r="C100" s="286"/>
      <c r="D100" s="286"/>
      <c r="E100" s="286"/>
      <c r="F100" s="286"/>
      <c r="G100" s="286"/>
      <c r="H100" s="286"/>
      <c r="I100" s="286"/>
      <c r="J100" s="286"/>
      <c r="K100" s="288"/>
      <c r="L100" s="286"/>
      <c r="X100" s="236"/>
    </row>
    <row r="101" spans="1:24" s="234" customFormat="1" x14ac:dyDescent="0.35">
      <c r="A101" s="286"/>
      <c r="B101" s="286"/>
      <c r="C101" s="286"/>
      <c r="D101" s="286"/>
      <c r="E101" s="286"/>
      <c r="F101" s="286"/>
      <c r="G101" s="286"/>
      <c r="H101" s="286"/>
      <c r="I101" s="286"/>
      <c r="J101" s="286"/>
      <c r="K101" s="288"/>
      <c r="L101" s="286"/>
      <c r="X101" s="236"/>
    </row>
    <row r="102" spans="1:24" s="234" customFormat="1" x14ac:dyDescent="0.35">
      <c r="A102" s="286"/>
      <c r="B102" s="286"/>
      <c r="C102" s="286"/>
      <c r="D102" s="286"/>
      <c r="E102" s="286"/>
      <c r="F102" s="286"/>
      <c r="G102" s="286"/>
      <c r="H102" s="286"/>
      <c r="I102" s="286"/>
      <c r="J102" s="286"/>
      <c r="K102" s="288"/>
      <c r="L102" s="286"/>
      <c r="X102" s="236"/>
    </row>
    <row r="103" spans="1:24" s="234" customFormat="1" x14ac:dyDescent="0.35">
      <c r="A103" s="286"/>
      <c r="B103" s="286"/>
      <c r="C103" s="286"/>
      <c r="D103" s="286"/>
      <c r="E103" s="286"/>
      <c r="F103" s="286"/>
      <c r="G103" s="286"/>
      <c r="H103" s="286"/>
      <c r="I103" s="286"/>
      <c r="J103" s="286"/>
      <c r="K103" s="288"/>
      <c r="L103" s="286"/>
      <c r="X103" s="236"/>
    </row>
    <row r="104" spans="1:24" s="234" customFormat="1" x14ac:dyDescent="0.35">
      <c r="A104" s="286"/>
      <c r="B104" s="286"/>
      <c r="C104" s="286"/>
      <c r="D104" s="286"/>
      <c r="E104" s="286"/>
      <c r="F104" s="286"/>
      <c r="G104" s="286"/>
      <c r="H104" s="286"/>
      <c r="I104" s="286"/>
      <c r="J104" s="286"/>
      <c r="K104" s="288"/>
      <c r="L104" s="286"/>
      <c r="X104" s="236"/>
    </row>
    <row r="105" spans="1:24" s="234" customFormat="1" x14ac:dyDescent="0.35">
      <c r="A105" s="286"/>
      <c r="B105" s="286"/>
      <c r="C105" s="286"/>
      <c r="D105" s="286"/>
      <c r="E105" s="286"/>
      <c r="F105" s="286"/>
      <c r="G105" s="286"/>
      <c r="H105" s="286"/>
      <c r="I105" s="286"/>
      <c r="J105" s="286"/>
      <c r="K105" s="288"/>
      <c r="L105" s="286"/>
      <c r="X105" s="236"/>
    </row>
    <row r="106" spans="1:24" s="234" customFormat="1" x14ac:dyDescent="0.35">
      <c r="A106" s="286"/>
      <c r="B106" s="286"/>
      <c r="C106" s="286"/>
      <c r="D106" s="286"/>
      <c r="E106" s="286"/>
      <c r="F106" s="286"/>
      <c r="G106" s="286"/>
      <c r="H106" s="286"/>
      <c r="I106" s="286"/>
      <c r="J106" s="286"/>
      <c r="K106" s="288"/>
      <c r="L106" s="286"/>
      <c r="X106" s="236"/>
    </row>
    <row r="107" spans="1:24" s="234" customFormat="1" x14ac:dyDescent="0.35">
      <c r="A107" s="286"/>
      <c r="B107" s="286"/>
      <c r="C107" s="286"/>
      <c r="D107" s="286"/>
      <c r="E107" s="286"/>
      <c r="F107" s="286"/>
      <c r="G107" s="286"/>
      <c r="H107" s="286"/>
      <c r="I107" s="286"/>
      <c r="J107" s="286"/>
      <c r="K107" s="288"/>
      <c r="L107" s="286"/>
      <c r="X107" s="236"/>
    </row>
    <row r="108" spans="1:24" s="234" customFormat="1" x14ac:dyDescent="0.35">
      <c r="A108" s="286"/>
      <c r="B108" s="286"/>
      <c r="C108" s="286"/>
      <c r="D108" s="286"/>
      <c r="E108" s="286"/>
      <c r="F108" s="286"/>
      <c r="G108" s="286"/>
      <c r="H108" s="286"/>
      <c r="I108" s="286"/>
      <c r="J108" s="286"/>
      <c r="K108" s="288"/>
      <c r="L108" s="286"/>
      <c r="X108" s="236"/>
    </row>
    <row r="109" spans="1:24" s="234" customFormat="1" x14ac:dyDescent="0.35">
      <c r="A109" s="286"/>
      <c r="B109" s="286"/>
      <c r="C109" s="286"/>
      <c r="D109" s="286"/>
      <c r="E109" s="286"/>
      <c r="F109" s="286"/>
      <c r="G109" s="286"/>
      <c r="H109" s="286"/>
      <c r="I109" s="286"/>
      <c r="J109" s="286"/>
      <c r="K109" s="288"/>
      <c r="L109" s="286"/>
      <c r="X109" s="236"/>
    </row>
    <row r="110" spans="1:24" s="234" customFormat="1" x14ac:dyDescent="0.35">
      <c r="A110" s="286"/>
      <c r="B110" s="286"/>
      <c r="C110" s="286"/>
      <c r="D110" s="286"/>
      <c r="E110" s="286"/>
      <c r="F110" s="286"/>
      <c r="G110" s="286"/>
      <c r="H110" s="286"/>
      <c r="I110" s="286"/>
      <c r="J110" s="286"/>
      <c r="K110" s="288"/>
      <c r="L110" s="286"/>
      <c r="X110" s="236"/>
    </row>
    <row r="111" spans="1:24" s="234" customFormat="1" x14ac:dyDescent="0.35">
      <c r="A111" s="286"/>
      <c r="B111" s="286"/>
      <c r="C111" s="286"/>
      <c r="D111" s="286"/>
      <c r="E111" s="286"/>
      <c r="F111" s="286"/>
      <c r="G111" s="286"/>
      <c r="H111" s="286"/>
      <c r="I111" s="286"/>
      <c r="J111" s="286"/>
      <c r="K111" s="288"/>
      <c r="L111" s="286"/>
      <c r="X111" s="236"/>
    </row>
    <row r="112" spans="1:24" s="234" customFormat="1" x14ac:dyDescent="0.35">
      <c r="A112" s="286"/>
      <c r="B112" s="286"/>
      <c r="C112" s="286"/>
      <c r="D112" s="286"/>
      <c r="E112" s="286"/>
      <c r="F112" s="286"/>
      <c r="G112" s="286"/>
      <c r="H112" s="286"/>
      <c r="I112" s="286"/>
      <c r="J112" s="286"/>
      <c r="K112" s="288"/>
      <c r="L112" s="286"/>
      <c r="X112" s="236"/>
    </row>
    <row r="113" spans="1:24" s="234" customFormat="1" x14ac:dyDescent="0.35">
      <c r="A113" s="286"/>
      <c r="B113" s="286"/>
      <c r="C113" s="286"/>
      <c r="D113" s="286"/>
      <c r="E113" s="286"/>
      <c r="F113" s="286"/>
      <c r="G113" s="286"/>
      <c r="H113" s="286"/>
      <c r="I113" s="286"/>
      <c r="J113" s="286"/>
      <c r="K113" s="288"/>
      <c r="L113" s="286"/>
      <c r="X113" s="236"/>
    </row>
    <row r="114" spans="1:24" s="234" customFormat="1" x14ac:dyDescent="0.35">
      <c r="A114" s="286"/>
      <c r="B114" s="286"/>
      <c r="C114" s="286"/>
      <c r="D114" s="286"/>
      <c r="E114" s="286"/>
      <c r="F114" s="286"/>
      <c r="G114" s="286"/>
      <c r="H114" s="286"/>
      <c r="I114" s="286"/>
      <c r="J114" s="286"/>
      <c r="K114" s="288"/>
      <c r="L114" s="286"/>
      <c r="X114" s="236"/>
    </row>
    <row r="115" spans="1:24" s="234" customFormat="1" x14ac:dyDescent="0.35">
      <c r="A115" s="286"/>
      <c r="B115" s="286"/>
      <c r="C115" s="286"/>
      <c r="D115" s="286"/>
      <c r="E115" s="286"/>
      <c r="F115" s="286"/>
      <c r="G115" s="286"/>
      <c r="H115" s="286"/>
      <c r="I115" s="286"/>
      <c r="J115" s="286"/>
      <c r="K115" s="288"/>
      <c r="L115" s="286"/>
      <c r="X115" s="236"/>
    </row>
    <row r="116" spans="1:24" s="234" customFormat="1" x14ac:dyDescent="0.35">
      <c r="A116" s="286"/>
      <c r="B116" s="286"/>
      <c r="C116" s="286"/>
      <c r="D116" s="286"/>
      <c r="E116" s="286"/>
      <c r="F116" s="286"/>
      <c r="G116" s="286"/>
      <c r="H116" s="286"/>
      <c r="I116" s="286"/>
      <c r="J116" s="286"/>
      <c r="K116" s="288"/>
      <c r="L116" s="286"/>
      <c r="X116" s="236"/>
    </row>
    <row r="117" spans="1:24" s="234" customFormat="1" x14ac:dyDescent="0.35">
      <c r="A117" s="286"/>
      <c r="B117" s="286"/>
      <c r="C117" s="286"/>
      <c r="D117" s="286"/>
      <c r="E117" s="286"/>
      <c r="F117" s="286"/>
      <c r="G117" s="286"/>
      <c r="H117" s="286"/>
      <c r="I117" s="286"/>
      <c r="J117" s="286"/>
      <c r="K117" s="288"/>
      <c r="L117" s="286"/>
      <c r="X117" s="236"/>
    </row>
    <row r="118" spans="1:24" s="234" customFormat="1" x14ac:dyDescent="0.35">
      <c r="A118" s="286"/>
      <c r="B118" s="286"/>
      <c r="C118" s="286"/>
      <c r="D118" s="286"/>
      <c r="E118" s="286"/>
      <c r="F118" s="286"/>
      <c r="G118" s="286"/>
      <c r="H118" s="286"/>
      <c r="I118" s="286"/>
      <c r="J118" s="286"/>
      <c r="K118" s="288"/>
      <c r="L118" s="286"/>
      <c r="X118" s="236"/>
    </row>
    <row r="119" spans="1:24" s="234" customFormat="1" x14ac:dyDescent="0.35">
      <c r="A119" s="286"/>
      <c r="B119" s="286"/>
      <c r="C119" s="286"/>
      <c r="D119" s="286"/>
      <c r="E119" s="286"/>
      <c r="F119" s="286"/>
      <c r="G119" s="286"/>
      <c r="H119" s="286"/>
      <c r="I119" s="286"/>
      <c r="J119" s="286"/>
      <c r="K119" s="288"/>
      <c r="L119" s="286"/>
      <c r="X119" s="236"/>
    </row>
    <row r="120" spans="1:24" x14ac:dyDescent="0.35">
      <c r="K120" s="15"/>
    </row>
    <row r="121" spans="1:24" x14ac:dyDescent="0.35">
      <c r="K121" s="15"/>
    </row>
  </sheetData>
  <sheetProtection algorithmName="SHA-512" hashValue="4kLOxOng8c7XzSRV66LFEzflJh3pr0SBTJ7PKZz9vjj8fM0U9TGWrHOXZV9nI3uspjpnBzBG31hDyk38YaAFeA==" saltValue="+FLsqgb1sWvUOvgrWQzF2g==" spinCount="100000" sheet="1" objects="1" scenarios="1" selectLockedCells="1" selectUnlockedCells="1"/>
  <mergeCells count="131">
    <mergeCell ref="M56:Q56"/>
    <mergeCell ref="R56:T56"/>
    <mergeCell ref="P50:R50"/>
    <mergeCell ref="S50:T50"/>
    <mergeCell ref="P51:R51"/>
    <mergeCell ref="S51:T51"/>
    <mergeCell ref="P52:R52"/>
    <mergeCell ref="P53:R53"/>
    <mergeCell ref="S53:T53"/>
    <mergeCell ref="P49:R49"/>
    <mergeCell ref="S49:T49"/>
    <mergeCell ref="P44:R44"/>
    <mergeCell ref="S44:T44"/>
    <mergeCell ref="P45:R45"/>
    <mergeCell ref="S45:T45"/>
    <mergeCell ref="P54:R54"/>
    <mergeCell ref="P55:R55"/>
    <mergeCell ref="S55:T55"/>
    <mergeCell ref="N34:N35"/>
    <mergeCell ref="O34:O35"/>
    <mergeCell ref="P34:P35"/>
    <mergeCell ref="Q34:Q35"/>
    <mergeCell ref="R34:R35"/>
    <mergeCell ref="P46:R46"/>
    <mergeCell ref="P47:R47"/>
    <mergeCell ref="S47:T47"/>
    <mergeCell ref="P48:R48"/>
    <mergeCell ref="P42:R42"/>
    <mergeCell ref="P43:R43"/>
    <mergeCell ref="S43:T43"/>
    <mergeCell ref="S34:T35"/>
    <mergeCell ref="S36:T36"/>
    <mergeCell ref="S37:T37"/>
    <mergeCell ref="S38:T38"/>
    <mergeCell ref="S39:T39"/>
    <mergeCell ref="P41:R41"/>
    <mergeCell ref="S41:T41"/>
    <mergeCell ref="M33:T33"/>
    <mergeCell ref="M34:M35"/>
    <mergeCell ref="D37:F37"/>
    <mergeCell ref="D38:F38"/>
    <mergeCell ref="G38:H38"/>
    <mergeCell ref="A39:E39"/>
    <mergeCell ref="F39:H39"/>
    <mergeCell ref="M4:T4"/>
    <mergeCell ref="S8:T8"/>
    <mergeCell ref="S9:T9"/>
    <mergeCell ref="S10:T10"/>
    <mergeCell ref="D33:F33"/>
    <mergeCell ref="G33:H33"/>
    <mergeCell ref="D34:F34"/>
    <mergeCell ref="G34:H34"/>
    <mergeCell ref="D35:F35"/>
    <mergeCell ref="D36:F36"/>
    <mergeCell ref="G36:H36"/>
    <mergeCell ref="D29:F29"/>
    <mergeCell ref="G29:H29"/>
    <mergeCell ref="D30:F30"/>
    <mergeCell ref="G30:H30"/>
    <mergeCell ref="D31:F31"/>
    <mergeCell ref="D32:F32"/>
    <mergeCell ref="G32:H32"/>
    <mergeCell ref="P17:R17"/>
    <mergeCell ref="A26:B26"/>
    <mergeCell ref="D26:F26"/>
    <mergeCell ref="G26:H26"/>
    <mergeCell ref="D27:F27"/>
    <mergeCell ref="D28:F28"/>
    <mergeCell ref="G28:H28"/>
    <mergeCell ref="G19:H19"/>
    <mergeCell ref="G20:H20"/>
    <mergeCell ref="G21:H21"/>
    <mergeCell ref="G22:H22"/>
    <mergeCell ref="G23:H23"/>
    <mergeCell ref="G24:H24"/>
    <mergeCell ref="P25:R25"/>
    <mergeCell ref="P26:R26"/>
    <mergeCell ref="M27:Q27"/>
    <mergeCell ref="R27:T27"/>
    <mergeCell ref="P21:R21"/>
    <mergeCell ref="S21:T21"/>
    <mergeCell ref="P22:R22"/>
    <mergeCell ref="S22:T22"/>
    <mergeCell ref="P23:R23"/>
    <mergeCell ref="P24:R24"/>
    <mergeCell ref="A13:E13"/>
    <mergeCell ref="F13:H13"/>
    <mergeCell ref="A14:E14"/>
    <mergeCell ref="F14:H14"/>
    <mergeCell ref="A16:H17"/>
    <mergeCell ref="A18:H18"/>
    <mergeCell ref="A6:E6"/>
    <mergeCell ref="F6:H6"/>
    <mergeCell ref="A8:H9"/>
    <mergeCell ref="A10:H11"/>
    <mergeCell ref="A12:E12"/>
    <mergeCell ref="F12:H12"/>
    <mergeCell ref="A1:H2"/>
    <mergeCell ref="A3:H3"/>
    <mergeCell ref="A4:E4"/>
    <mergeCell ref="F4:H4"/>
    <mergeCell ref="A5:E5"/>
    <mergeCell ref="F5:H5"/>
    <mergeCell ref="M5:Q5"/>
    <mergeCell ref="R5:T5"/>
    <mergeCell ref="M6:Q6"/>
    <mergeCell ref="R6:T6"/>
    <mergeCell ref="M1:T3"/>
    <mergeCell ref="M7:T7"/>
    <mergeCell ref="M28:T29"/>
    <mergeCell ref="M30:Q30"/>
    <mergeCell ref="R30:T30"/>
    <mergeCell ref="M31:Q31"/>
    <mergeCell ref="R31:T31"/>
    <mergeCell ref="M32:Q32"/>
    <mergeCell ref="R32:T32"/>
    <mergeCell ref="S17:T17"/>
    <mergeCell ref="P18:R18"/>
    <mergeCell ref="S18:T18"/>
    <mergeCell ref="P19:R19"/>
    <mergeCell ref="P20:R20"/>
    <mergeCell ref="S20:T20"/>
    <mergeCell ref="S11:T11"/>
    <mergeCell ref="S12:T12"/>
    <mergeCell ref="P14:R14"/>
    <mergeCell ref="S14:T14"/>
    <mergeCell ref="P15:R15"/>
    <mergeCell ref="P16:R16"/>
    <mergeCell ref="S16:T16"/>
    <mergeCell ref="S26:T26"/>
    <mergeCell ref="S24:T24"/>
  </mergeCells>
  <conditionalFormatting sqref="M17 M50 M44 M23">
    <cfRule type="cellIs" dxfId="7" priority="4" stopIfTrue="1" operator="notEqual">
      <formula>0</formula>
    </cfRule>
  </conditionalFormatting>
  <conditionalFormatting sqref="Q9:Q12 Q36:Q39">
    <cfRule type="cellIs" dxfId="6" priority="3" stopIfTrue="1" operator="greaterThan">
      <formula>0.9</formula>
    </cfRule>
  </conditionalFormatting>
  <conditionalFormatting sqref="A37 A31">
    <cfRule type="cellIs" dxfId="5" priority="2" stopIfTrue="1" operator="notEqual">
      <formula>0</formula>
    </cfRule>
  </conditionalFormatting>
  <conditionalFormatting sqref="E20:E24">
    <cfRule type="cellIs" dxfId="4" priority="1" stopIfTrue="1" operator="greaterThan">
      <formula>0.9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>
    <tabColor theme="8" tint="-0.249977111117893"/>
  </sheetPr>
  <dimension ref="A1:AH507"/>
  <sheetViews>
    <sheetView zoomScale="55" zoomScaleNormal="55" workbookViewId="0">
      <selection sqref="A1:XFD1048576"/>
    </sheetView>
  </sheetViews>
  <sheetFormatPr baseColWidth="10" defaultColWidth="11.25" defaultRowHeight="16" x14ac:dyDescent="0.35"/>
  <cols>
    <col min="1" max="1" width="33.75" style="14" customWidth="1"/>
    <col min="2" max="2" width="14.75" style="14" customWidth="1"/>
    <col min="3" max="3" width="9.25" style="14" customWidth="1"/>
    <col min="4" max="4" width="20.75" style="14" customWidth="1"/>
    <col min="5" max="5" width="7.25" style="14" hidden="1" customWidth="1"/>
    <col min="6" max="6" width="18.08203125" style="14" customWidth="1"/>
    <col min="7" max="7" width="11.25" style="14" bestFit="1" customWidth="1"/>
    <col min="8" max="8" width="3.58203125" style="14" customWidth="1"/>
    <col min="9" max="9" width="78.83203125" style="14" hidden="1" customWidth="1"/>
    <col min="10" max="10" width="11.25" style="14" hidden="1" customWidth="1"/>
    <col min="11" max="11" width="17.75" style="14" hidden="1" customWidth="1"/>
    <col min="12" max="12" width="11.25" style="31"/>
    <col min="13" max="13" width="29.75" style="48" customWidth="1"/>
    <col min="14" max="14" width="13.5" style="48" customWidth="1"/>
    <col min="15" max="15" width="12.58203125" style="48" customWidth="1"/>
    <col min="16" max="16" width="16.83203125" style="48" customWidth="1"/>
    <col min="17" max="17" width="14.08203125" style="48" customWidth="1"/>
    <col min="18" max="18" width="19.58203125" style="48" customWidth="1"/>
    <col min="19" max="19" width="9" style="48" customWidth="1"/>
    <col min="20" max="20" width="18.33203125" style="48" customWidth="1"/>
    <col min="21" max="21" width="4.08203125" style="159" customWidth="1"/>
    <col min="22" max="22" width="52.25" style="159" hidden="1" customWidth="1"/>
    <col min="23" max="23" width="15.58203125" style="159" hidden="1" customWidth="1"/>
    <col min="24" max="24" width="10.25" style="274" hidden="1" customWidth="1"/>
    <col min="25" max="26" width="11.25" style="10"/>
    <col min="27" max="34" width="11" style="234" customWidth="1"/>
    <col min="35" max="16384" width="11.25" style="14"/>
  </cols>
  <sheetData>
    <row r="1" spans="1:34" ht="42.75" customHeight="1" x14ac:dyDescent="0.35">
      <c r="A1" s="487" t="s">
        <v>149</v>
      </c>
      <c r="B1" s="488"/>
      <c r="C1" s="488"/>
      <c r="D1" s="488"/>
      <c r="E1" s="488"/>
      <c r="F1" s="488"/>
      <c r="G1" s="488"/>
      <c r="H1" s="489"/>
      <c r="K1" s="15"/>
      <c r="M1" s="625" t="s">
        <v>163</v>
      </c>
      <c r="N1" s="626"/>
      <c r="O1" s="626"/>
      <c r="P1" s="626"/>
      <c r="Q1" s="626"/>
      <c r="R1" s="626"/>
      <c r="S1" s="626"/>
      <c r="T1" s="627"/>
      <c r="U1" s="273"/>
    </row>
    <row r="2" spans="1:34" ht="12.65" customHeight="1" thickBot="1" x14ac:dyDescent="0.4">
      <c r="A2" s="490"/>
      <c r="B2" s="491"/>
      <c r="C2" s="491"/>
      <c r="D2" s="491"/>
      <c r="E2" s="491"/>
      <c r="F2" s="491"/>
      <c r="G2" s="491"/>
      <c r="H2" s="492"/>
      <c r="K2" s="15"/>
      <c r="M2" s="628"/>
      <c r="N2" s="629"/>
      <c r="O2" s="629"/>
      <c r="P2" s="629"/>
      <c r="Q2" s="629"/>
      <c r="R2" s="629"/>
      <c r="S2" s="629"/>
      <c r="T2" s="630"/>
      <c r="U2" s="273"/>
    </row>
    <row r="3" spans="1:34" ht="35.25" customHeight="1" thickBot="1" x14ac:dyDescent="0.4">
      <c r="A3" s="737" t="s">
        <v>150</v>
      </c>
      <c r="B3" s="738"/>
      <c r="C3" s="738"/>
      <c r="D3" s="738"/>
      <c r="E3" s="738"/>
      <c r="F3" s="738"/>
      <c r="G3" s="738"/>
      <c r="H3" s="739"/>
      <c r="K3" s="15"/>
      <c r="M3" s="825" t="s">
        <v>2</v>
      </c>
      <c r="N3" s="826"/>
      <c r="O3" s="826"/>
      <c r="P3" s="826"/>
      <c r="Q3" s="826"/>
      <c r="R3" s="826"/>
      <c r="S3" s="826"/>
      <c r="T3" s="827"/>
    </row>
    <row r="4" spans="1:34" ht="19.899999999999999" customHeight="1" thickBot="1" x14ac:dyDescent="0.4">
      <c r="A4" s="513" t="s">
        <v>92</v>
      </c>
      <c r="B4" s="514"/>
      <c r="C4" s="514"/>
      <c r="D4" s="514"/>
      <c r="E4" s="514"/>
      <c r="F4" s="515" t="str">
        <f>IF(CDP!F41&lt;=1.5,"!!!!!!!!!!!",IF(AND(CDP!F41&lt;1.5,PF!B25=50/100*PF!B38),PF!B38,G26+G30+G34))</f>
        <v>!!!!!!!!!!!</v>
      </c>
      <c r="G4" s="516"/>
      <c r="H4" s="517"/>
      <c r="I4" s="16" t="s">
        <v>11</v>
      </c>
      <c r="J4" s="17"/>
      <c r="K4" s="15" t="e">
        <f>G26*30/70</f>
        <v>#VALUE!</v>
      </c>
      <c r="M4" s="828"/>
      <c r="N4" s="829"/>
      <c r="O4" s="829"/>
      <c r="P4" s="829"/>
      <c r="Q4" s="829"/>
      <c r="R4" s="829"/>
      <c r="S4" s="829"/>
      <c r="T4" s="830"/>
      <c r="U4" s="275"/>
      <c r="V4" s="276" t="s">
        <v>21</v>
      </c>
      <c r="W4" s="277"/>
      <c r="X4" s="274" t="e">
        <f>S13*20/80</f>
        <v>#VALUE!</v>
      </c>
      <c r="Y4" s="169"/>
      <c r="Z4" s="169"/>
      <c r="AA4" s="237"/>
      <c r="AB4" s="237"/>
      <c r="AC4" s="237"/>
      <c r="AD4" s="237"/>
      <c r="AE4" s="237"/>
      <c r="AF4" s="237"/>
      <c r="AG4" s="237"/>
      <c r="AH4" s="237"/>
    </row>
    <row r="5" spans="1:34" ht="44.5" customHeight="1" thickBot="1" x14ac:dyDescent="0.4">
      <c r="A5" s="513" t="s">
        <v>95</v>
      </c>
      <c r="B5" s="514"/>
      <c r="C5" s="514"/>
      <c r="D5" s="514"/>
      <c r="E5" s="514"/>
      <c r="F5" s="515" t="str">
        <f>IF(CDP!F41&lt;=1.5,"!!!!!!!!!!!",G38)</f>
        <v>!!!!!!!!!!!</v>
      </c>
      <c r="G5" s="516"/>
      <c r="H5" s="517"/>
      <c r="I5" s="20" t="s">
        <v>24</v>
      </c>
      <c r="J5" s="18"/>
      <c r="K5" s="15">
        <f>B31</f>
        <v>0</v>
      </c>
      <c r="M5" s="634" t="s">
        <v>73</v>
      </c>
      <c r="N5" s="635"/>
      <c r="O5" s="635"/>
      <c r="P5" s="635"/>
      <c r="Q5" s="635"/>
      <c r="R5" s="636" t="e">
        <f>S13+S17</f>
        <v>#VALUE!</v>
      </c>
      <c r="S5" s="637"/>
      <c r="T5" s="638"/>
      <c r="U5" s="278"/>
      <c r="V5" s="276" t="s">
        <v>24</v>
      </c>
      <c r="W5" s="169"/>
      <c r="X5" s="274" t="e">
        <f>N16+N15+N14</f>
        <v>#VALUE!</v>
      </c>
    </row>
    <row r="6" spans="1:34" ht="40.15" customHeight="1" thickBot="1" x14ac:dyDescent="0.4">
      <c r="A6" s="518" t="s">
        <v>97</v>
      </c>
      <c r="B6" s="519"/>
      <c r="C6" s="519"/>
      <c r="D6" s="519"/>
      <c r="E6" s="520"/>
      <c r="F6" s="521" t="str">
        <f>IF(CDP!F41&lt;=1.5,"!!!!!!!!!!!",PF!G28+PF!G32)</f>
        <v>!!!!!!!!!!!</v>
      </c>
      <c r="G6" s="522"/>
      <c r="H6" s="523"/>
      <c r="I6" s="20" t="s">
        <v>29</v>
      </c>
      <c r="J6" s="18"/>
      <c r="K6" s="15" t="e">
        <f>IF((G26*100/F4)&gt;70,100-(G26*100/F4),30)</f>
        <v>#VALUE!</v>
      </c>
      <c r="M6" s="870" t="s">
        <v>77</v>
      </c>
      <c r="N6" s="871"/>
      <c r="O6" s="871"/>
      <c r="P6" s="871"/>
      <c r="Q6" s="872"/>
      <c r="R6" s="873" t="e">
        <f>S15+S19</f>
        <v>#VALUE!</v>
      </c>
      <c r="S6" s="874"/>
      <c r="T6" s="875"/>
      <c r="U6" s="278"/>
      <c r="V6" s="276" t="s">
        <v>29</v>
      </c>
      <c r="W6" s="169"/>
      <c r="X6" s="274" t="e">
        <f>IF((S13*100/R5)&gt;80,100-(S13*100/R5),20)</f>
        <v>#VALUE!</v>
      </c>
    </row>
    <row r="7" spans="1:34" ht="18.649999999999999" customHeight="1" thickBot="1" x14ac:dyDescent="0.4">
      <c r="A7" s="31"/>
      <c r="B7" s="31"/>
      <c r="C7" s="31"/>
      <c r="D7" s="31"/>
      <c r="E7" s="31"/>
      <c r="F7" s="31"/>
      <c r="G7" s="31"/>
      <c r="H7" s="31"/>
      <c r="I7" s="20"/>
      <c r="J7" s="18"/>
      <c r="K7" s="15"/>
      <c r="M7" s="484" t="s">
        <v>151</v>
      </c>
      <c r="N7" s="485"/>
      <c r="O7" s="485"/>
      <c r="P7" s="485"/>
      <c r="Q7" s="485"/>
      <c r="R7" s="485"/>
      <c r="S7" s="485"/>
      <c r="T7" s="486"/>
      <c r="U7" s="278"/>
      <c r="V7" s="276" t="s">
        <v>35</v>
      </c>
      <c r="W7" s="169"/>
      <c r="X7" s="274" t="e">
        <f>IF(X5&gt;X4,X4,X5)</f>
        <v>#VALUE!</v>
      </c>
    </row>
    <row r="8" spans="1:34" ht="46.9" customHeight="1" thickBot="1" x14ac:dyDescent="0.4">
      <c r="A8" s="524" t="s">
        <v>168</v>
      </c>
      <c r="B8" s="525"/>
      <c r="C8" s="525"/>
      <c r="D8" s="525"/>
      <c r="E8" s="525"/>
      <c r="F8" s="525"/>
      <c r="G8" s="525"/>
      <c r="H8" s="526"/>
      <c r="I8" s="20" t="s">
        <v>35</v>
      </c>
      <c r="J8" s="18"/>
      <c r="K8" s="21" t="e">
        <f>IF(B31&gt;K4,K4,B31)</f>
        <v>#VALUE!</v>
      </c>
      <c r="M8" s="53" t="s">
        <v>4</v>
      </c>
      <c r="N8" s="62" t="s">
        <v>20</v>
      </c>
      <c r="O8" s="133" t="s">
        <v>6</v>
      </c>
      <c r="P8" s="133" t="s">
        <v>18</v>
      </c>
      <c r="Q8" s="133" t="s">
        <v>8</v>
      </c>
      <c r="R8" s="133" t="s">
        <v>9</v>
      </c>
      <c r="S8" s="793" t="s">
        <v>10</v>
      </c>
      <c r="T8" s="793"/>
      <c r="U8" s="248"/>
      <c r="V8" s="164"/>
    </row>
    <row r="9" spans="1:34" ht="18.5" thickBot="1" x14ac:dyDescent="0.4">
      <c r="A9" s="527"/>
      <c r="B9" s="528"/>
      <c r="C9" s="528"/>
      <c r="D9" s="528"/>
      <c r="E9" s="528"/>
      <c r="F9" s="528"/>
      <c r="G9" s="528"/>
      <c r="H9" s="529"/>
      <c r="I9" s="20"/>
      <c r="J9" s="18"/>
      <c r="K9" s="15"/>
      <c r="M9" s="91" t="s">
        <v>23</v>
      </c>
      <c r="N9" s="167" t="str">
        <f>IF(CDP!D$23="PF",CDP!C$23,"")</f>
        <v/>
      </c>
      <c r="O9" s="165" t="e">
        <f>N9/($N$18+0.00001)</f>
        <v>#VALUE!</v>
      </c>
      <c r="P9" s="166" t="e">
        <f>IF(O9&lt;80%,N9,4*(N10+N11))</f>
        <v>#VALUE!</v>
      </c>
      <c r="Q9" s="165" t="e">
        <f>S9/(R$5+0.00001)</f>
        <v>#VALUE!</v>
      </c>
      <c r="R9" s="166" t="e">
        <f>IF(OR($P$9=$N$12,$P$10=$N$12,$P$11=$N$12,O9=100%),0,P9)</f>
        <v>#VALUE!</v>
      </c>
      <c r="S9" s="831" t="e">
        <f>R9</f>
        <v>#VALUE!</v>
      </c>
      <c r="T9" s="831"/>
      <c r="U9" s="279"/>
      <c r="V9" s="276"/>
      <c r="W9" s="169"/>
    </row>
    <row r="10" spans="1:34" ht="18" x14ac:dyDescent="0.35">
      <c r="A10" s="782" t="s">
        <v>150</v>
      </c>
      <c r="B10" s="783"/>
      <c r="C10" s="783"/>
      <c r="D10" s="783"/>
      <c r="E10" s="783"/>
      <c r="F10" s="783"/>
      <c r="G10" s="783"/>
      <c r="H10" s="784"/>
      <c r="I10" s="19" t="s">
        <v>44</v>
      </c>
      <c r="J10" s="18"/>
      <c r="K10" s="15" t="e">
        <f>IF(K8=K4,0,IF(K8&lt;(G26*10/70),G26*20/70,IF(K8=(G26*10/70),G26*20/70,IF(K8&gt;(G26*10/70),(G26*30/70)-K8,0))))</f>
        <v>#VALUE!</v>
      </c>
      <c r="M10" s="91" t="s">
        <v>28</v>
      </c>
      <c r="N10" s="167" t="str">
        <f>IF(CDP!D$24="PF",CDP!C$24,"")</f>
        <v/>
      </c>
      <c r="O10" s="165" t="e">
        <f t="shared" ref="O10:O11" si="0">N10/($N$18+0.00001)</f>
        <v>#VALUE!</v>
      </c>
      <c r="P10" s="166" t="e">
        <f>IF(O10&lt;80%,N10,4*(N11+N9))</f>
        <v>#VALUE!</v>
      </c>
      <c r="Q10" s="165" t="e">
        <f t="shared" ref="Q10:Q11" si="1">S10/(R$5+0.00001)</f>
        <v>#VALUE!</v>
      </c>
      <c r="R10" s="166" t="e">
        <f>IF(OR($P$9=$N$12,$P$10=$N$12,$P$11=$N$12,O10=100%),0,P10)</f>
        <v>#VALUE!</v>
      </c>
      <c r="S10" s="831" t="e">
        <f>R10</f>
        <v>#VALUE!</v>
      </c>
      <c r="T10" s="831"/>
      <c r="U10" s="280"/>
      <c r="V10" s="276"/>
      <c r="W10" s="169"/>
    </row>
    <row r="11" spans="1:34" ht="16.899999999999999" customHeight="1" thickBot="1" x14ac:dyDescent="0.4">
      <c r="A11" s="785"/>
      <c r="B11" s="786"/>
      <c r="C11" s="786"/>
      <c r="D11" s="786"/>
      <c r="E11" s="786"/>
      <c r="F11" s="786"/>
      <c r="G11" s="786"/>
      <c r="H11" s="787"/>
      <c r="I11" s="19" t="s">
        <v>48</v>
      </c>
      <c r="J11" s="18"/>
      <c r="K11" s="15" t="e">
        <f>IF(K10&lt;B35+B34+B36+B33,K10,B35+B34+B36+B33)</f>
        <v>#VALUE!</v>
      </c>
      <c r="M11" s="91" t="s">
        <v>33</v>
      </c>
      <c r="N11" s="168" t="str">
        <f>IF(CDP!D$25="PF",CDP!C$25,"")</f>
        <v/>
      </c>
      <c r="O11" s="165" t="e">
        <f t="shared" si="0"/>
        <v>#VALUE!</v>
      </c>
      <c r="P11" s="166" t="e">
        <f>IF(O11&lt;80%,N11,4*(N10+N9))</f>
        <v>#VALUE!</v>
      </c>
      <c r="Q11" s="165" t="e">
        <f t="shared" si="1"/>
        <v>#VALUE!</v>
      </c>
      <c r="R11" s="166" t="e">
        <f>IF(OR($P$9=$N$12,$P$10=$N$12,$P$11=$N$12,O11=100%),0,P11)</f>
        <v>#VALUE!</v>
      </c>
      <c r="S11" s="831" t="e">
        <f>R11</f>
        <v>#VALUE!</v>
      </c>
      <c r="T11" s="831"/>
      <c r="U11" s="281"/>
      <c r="V11" s="282"/>
      <c r="W11" s="169"/>
      <c r="X11" s="283"/>
    </row>
    <row r="12" spans="1:34" ht="27" customHeight="1" thickBot="1" x14ac:dyDescent="0.4">
      <c r="A12" s="513" t="s">
        <v>99</v>
      </c>
      <c r="B12" s="514"/>
      <c r="C12" s="514"/>
      <c r="D12" s="514"/>
      <c r="E12" s="514"/>
      <c r="F12" s="515">
        <f>IF(CDP!F41&lt;1.5,K37+K38,"")</f>
        <v>0</v>
      </c>
      <c r="G12" s="516"/>
      <c r="H12" s="517"/>
      <c r="I12" s="19"/>
      <c r="J12" s="18"/>
      <c r="K12" s="15"/>
      <c r="M12" s="146" t="s">
        <v>37</v>
      </c>
      <c r="N12" s="57">
        <f>SUM(N9:N11)</f>
        <v>0</v>
      </c>
      <c r="O12" s="163"/>
      <c r="P12" s="164"/>
      <c r="Q12" s="876"/>
      <c r="R12" s="876"/>
      <c r="S12" s="877"/>
      <c r="T12" s="878"/>
      <c r="U12" s="280"/>
      <c r="V12" s="282"/>
      <c r="W12" s="169"/>
    </row>
    <row r="13" spans="1:34" ht="31.9" customHeight="1" thickBot="1" x14ac:dyDescent="0.4">
      <c r="A13" s="513" t="s">
        <v>95</v>
      </c>
      <c r="B13" s="514"/>
      <c r="C13" s="514"/>
      <c r="D13" s="514"/>
      <c r="E13" s="554"/>
      <c r="F13" s="515">
        <f>IF(CDP!F41&lt;1.5,K43,"")</f>
        <v>0</v>
      </c>
      <c r="G13" s="516"/>
      <c r="H13" s="517"/>
      <c r="I13" s="26" t="s">
        <v>55</v>
      </c>
      <c r="J13" s="18"/>
      <c r="K13" s="27" t="e">
        <f>IF(K11=0,0,K11*100/K15)</f>
        <v>#VALUE!</v>
      </c>
      <c r="O13" s="160"/>
      <c r="P13" s="841" t="s">
        <v>43</v>
      </c>
      <c r="Q13" s="842"/>
      <c r="R13" s="843"/>
      <c r="S13" s="762" t="e">
        <f>SUM(S9,S10,S11)</f>
        <v>#VALUE!</v>
      </c>
      <c r="T13" s="763"/>
      <c r="U13" s="280"/>
      <c r="V13" s="282"/>
      <c r="W13" s="169"/>
    </row>
    <row r="14" spans="1:34" ht="28.9" customHeight="1" thickBot="1" x14ac:dyDescent="0.4">
      <c r="A14" s="518" t="s">
        <v>67</v>
      </c>
      <c r="B14" s="519"/>
      <c r="C14" s="519"/>
      <c r="D14" s="519"/>
      <c r="E14" s="520"/>
      <c r="F14" s="521" t="e">
        <f>IF(CDP!F41&lt;1.5,K4,"")</f>
        <v>#VALUE!</v>
      </c>
      <c r="G14" s="522"/>
      <c r="H14" s="523"/>
      <c r="I14" s="26" t="s">
        <v>59</v>
      </c>
      <c r="J14" s="18"/>
      <c r="K14" s="21" t="e">
        <f>IF(K11=0,0,IF(K13&gt;20,0.25*K15-0.25*K11,K11))</f>
        <v>#VALUE!</v>
      </c>
      <c r="M14" s="70" t="s">
        <v>46</v>
      </c>
      <c r="N14" s="22" t="str">
        <f>IF(CDP!D$27="PF",CDP!C$27,"")</f>
        <v/>
      </c>
      <c r="O14" s="169"/>
      <c r="P14" s="844" t="s">
        <v>47</v>
      </c>
      <c r="Q14" s="845"/>
      <c r="R14" s="845"/>
      <c r="S14" s="63" t="e">
        <f>IF(R5=0,0,S13*100/R5)</f>
        <v>#VALUE!</v>
      </c>
      <c r="T14" s="64" t="s">
        <v>41</v>
      </c>
      <c r="U14" s="280"/>
      <c r="V14" s="282"/>
      <c r="W14" s="169"/>
    </row>
    <row r="15" spans="1:34" ht="24.65" customHeight="1" thickBot="1" x14ac:dyDescent="0.4">
      <c r="A15" s="31"/>
      <c r="B15" s="31"/>
      <c r="C15" s="31"/>
      <c r="D15" s="31"/>
      <c r="E15" s="31"/>
      <c r="F15" s="31"/>
      <c r="G15" s="31"/>
      <c r="H15" s="31"/>
      <c r="I15" s="26" t="s">
        <v>64</v>
      </c>
      <c r="J15" s="18"/>
      <c r="K15" s="15" t="e">
        <f>G26+G30+K11</f>
        <v>#VALUE!</v>
      </c>
      <c r="M15" s="70" t="s">
        <v>49</v>
      </c>
      <c r="N15" s="59" t="str">
        <f>IF(CDP!D$29="PF",CDP!C$29,"")</f>
        <v/>
      </c>
      <c r="O15" s="164"/>
      <c r="P15" s="846" t="s">
        <v>51</v>
      </c>
      <c r="Q15" s="847"/>
      <c r="R15" s="847"/>
      <c r="S15" s="766" t="e">
        <f>IF(N12&lt;S13,0,N12-S13)</f>
        <v>#VALUE!</v>
      </c>
      <c r="T15" s="767"/>
      <c r="U15" s="281"/>
      <c r="V15" s="282"/>
      <c r="W15" s="169"/>
    </row>
    <row r="16" spans="1:34" ht="19.899999999999999" customHeight="1" thickBot="1" x14ac:dyDescent="0.4">
      <c r="A16" s="782" t="s">
        <v>151</v>
      </c>
      <c r="B16" s="783"/>
      <c r="C16" s="783"/>
      <c r="D16" s="783"/>
      <c r="E16" s="783"/>
      <c r="F16" s="783"/>
      <c r="G16" s="783"/>
      <c r="H16" s="784"/>
      <c r="I16" s="26" t="s">
        <v>68</v>
      </c>
      <c r="J16" s="37"/>
      <c r="K16" s="15" t="e">
        <f>G26+G30+K14</f>
        <v>#VALUE!</v>
      </c>
      <c r="M16" s="71" t="s">
        <v>54</v>
      </c>
      <c r="N16" s="58">
        <f>SUM(N14:N15)</f>
        <v>0</v>
      </c>
      <c r="O16" s="164"/>
      <c r="P16" s="879"/>
      <c r="Q16" s="879"/>
      <c r="R16" s="879"/>
      <c r="S16" s="880"/>
      <c r="T16" s="880"/>
      <c r="U16" s="280"/>
      <c r="V16" s="282"/>
      <c r="W16" s="284"/>
    </row>
    <row r="17" spans="1:34" ht="21" customHeight="1" thickBot="1" x14ac:dyDescent="0.4">
      <c r="A17" s="785"/>
      <c r="B17" s="786"/>
      <c r="C17" s="786"/>
      <c r="D17" s="786"/>
      <c r="E17" s="786"/>
      <c r="F17" s="786"/>
      <c r="G17" s="786"/>
      <c r="H17" s="787"/>
      <c r="I17" s="19"/>
      <c r="J17" s="37"/>
      <c r="K17" s="24"/>
      <c r="O17" s="164"/>
      <c r="P17" s="832" t="s">
        <v>57</v>
      </c>
      <c r="Q17" s="833"/>
      <c r="R17" s="833"/>
      <c r="S17" s="750" t="e">
        <f>X7</f>
        <v>#VALUE!</v>
      </c>
      <c r="T17" s="751"/>
      <c r="U17" s="280"/>
      <c r="V17" s="285"/>
      <c r="W17" s="169"/>
    </row>
    <row r="18" spans="1:34" ht="33" customHeight="1" thickBot="1" x14ac:dyDescent="0.4">
      <c r="A18" s="737" t="s">
        <v>149</v>
      </c>
      <c r="B18" s="738"/>
      <c r="C18" s="738"/>
      <c r="D18" s="738"/>
      <c r="E18" s="738"/>
      <c r="F18" s="738"/>
      <c r="G18" s="738"/>
      <c r="H18" s="739"/>
      <c r="I18" s="38" t="s">
        <v>74</v>
      </c>
      <c r="J18" s="37"/>
      <c r="K18" s="15" t="e">
        <f>(B34+B35+B36)-(1/0.9)*(B34+B35+B36)+(0.1/0.9)*(G26+G30+B34+B35+B36+B33)</f>
        <v>#VALUE!</v>
      </c>
      <c r="M18" s="170" t="s">
        <v>61</v>
      </c>
      <c r="N18" s="171">
        <f>N16+N12</f>
        <v>0</v>
      </c>
      <c r="O18" s="164"/>
      <c r="P18" s="817" t="s">
        <v>62</v>
      </c>
      <c r="Q18" s="818"/>
      <c r="R18" s="819"/>
      <c r="S18" s="63" t="e">
        <f>IF(R5=0,0,S17*100/R5)</f>
        <v>#VALUE!</v>
      </c>
      <c r="T18" s="64" t="s">
        <v>41</v>
      </c>
      <c r="U18" s="280"/>
      <c r="V18" s="282"/>
      <c r="W18" s="284"/>
    </row>
    <row r="19" spans="1:34" ht="54" customHeight="1" thickBot="1" x14ac:dyDescent="0.4">
      <c r="A19" s="51" t="s">
        <v>4</v>
      </c>
      <c r="B19" s="52" t="s">
        <v>5</v>
      </c>
      <c r="C19" s="251" t="s">
        <v>6</v>
      </c>
      <c r="D19" s="251" t="s">
        <v>7</v>
      </c>
      <c r="E19" s="251" t="s">
        <v>8</v>
      </c>
      <c r="F19" s="251" t="s">
        <v>9</v>
      </c>
      <c r="G19" s="512" t="s">
        <v>10</v>
      </c>
      <c r="H19" s="512"/>
      <c r="I19" s="26" t="s">
        <v>78</v>
      </c>
      <c r="J19" s="37"/>
      <c r="K19" s="24" t="e">
        <f>IF(K18=0,0,IF(B34+B35+B36&gt;K18,K18,B34+B35+B36))</f>
        <v>#VALUE!</v>
      </c>
      <c r="M19" s="159"/>
      <c r="N19" s="159"/>
      <c r="O19" s="160"/>
      <c r="P19" s="834" t="s">
        <v>67</v>
      </c>
      <c r="Q19" s="835"/>
      <c r="R19" s="835"/>
      <c r="S19" s="756" t="e">
        <f>IF(N16&lt;S17,0,N16-S17)</f>
        <v>#VALUE!</v>
      </c>
      <c r="T19" s="757"/>
      <c r="U19" s="281"/>
      <c r="V19" s="276"/>
      <c r="W19" s="284"/>
    </row>
    <row r="20" spans="1:34" ht="28.15" customHeight="1" x14ac:dyDescent="0.35">
      <c r="A20" s="174" t="s">
        <v>23</v>
      </c>
      <c r="B20" s="157" t="str">
        <f>IF(CDP!D23="PF",CDP!C6-CDP!C23,"ERREUR")</f>
        <v>ERREUR</v>
      </c>
      <c r="C20" s="86" t="e">
        <f>B20/($B$38+0.00001)</f>
        <v>#VALUE!</v>
      </c>
      <c r="D20" s="87" t="e">
        <f>IF(C20&lt;90%,B20,9*(B21+B22+B23+B24))</f>
        <v>#VALUE!</v>
      </c>
      <c r="E20" s="86" t="e">
        <f t="shared" ref="E20:E24" si="2">G20/(F$4+0.00001)</f>
        <v>#VALUE!</v>
      </c>
      <c r="F20" s="80" t="e">
        <f>IF(OR($D$20=$B$25,$D$21=$B$25,$D$22=$B$25,$D$23=$B$25,$D$24=$B$25,C20=100%),0,D20)</f>
        <v>#VALUE!</v>
      </c>
      <c r="G20" s="499" t="e">
        <f>F20</f>
        <v>#VALUE!</v>
      </c>
      <c r="H20" s="499"/>
      <c r="I20" s="26" t="s">
        <v>81</v>
      </c>
      <c r="J20" s="37"/>
      <c r="K20" s="24" t="e">
        <f>IF(K19&gt;K14,K14,K19)</f>
        <v>#VALUE!</v>
      </c>
      <c r="M20" s="159"/>
      <c r="N20" s="159"/>
      <c r="O20" s="161"/>
      <c r="P20" s="159"/>
      <c r="Q20" s="159"/>
      <c r="R20" s="159"/>
      <c r="S20" s="159"/>
      <c r="T20" s="159"/>
      <c r="U20" s="280"/>
    </row>
    <row r="21" spans="1:34" ht="19.899999999999999" customHeight="1" thickBot="1" x14ac:dyDescent="0.4">
      <c r="A21" s="91" t="s">
        <v>28</v>
      </c>
      <c r="B21" s="157" t="str">
        <f>IF(CDP!D24="PF",CDP!C7-CDP!C24,"ERREUR")</f>
        <v>ERREUR</v>
      </c>
      <c r="C21" s="86" t="e">
        <f t="shared" ref="C21:C24" si="3">B21/($B$38+0.00001)</f>
        <v>#VALUE!</v>
      </c>
      <c r="D21" s="87" t="e">
        <f>IF(C21&lt;90%,B21,9*(B22+B23+B24+B20))</f>
        <v>#VALUE!</v>
      </c>
      <c r="E21" s="86" t="e">
        <f t="shared" si="2"/>
        <v>#VALUE!</v>
      </c>
      <c r="F21" s="80" t="e">
        <f t="shared" ref="F21:F24" si="4">IF(OR($D$20=$B$25,$D$21=$B$25,$D$22=$B$25,$D$23=$B$25,$D$24=$B$25,C21=100%),0,D21)</f>
        <v>#VALUE!</v>
      </c>
      <c r="G21" s="499" t="e">
        <f>F21</f>
        <v>#VALUE!</v>
      </c>
      <c r="H21" s="499"/>
      <c r="I21" s="26" t="s">
        <v>84</v>
      </c>
      <c r="J21" s="37"/>
      <c r="K21" s="41" t="e">
        <f>K14-K20</f>
        <v>#VALUE!</v>
      </c>
      <c r="M21" s="159"/>
      <c r="N21" s="159"/>
      <c r="O21" s="159"/>
      <c r="P21" s="159"/>
      <c r="Q21" s="159"/>
      <c r="R21" s="159"/>
      <c r="S21" s="159"/>
      <c r="T21" s="159"/>
      <c r="U21" s="10"/>
      <c r="V21" s="10"/>
      <c r="W21" s="10"/>
      <c r="X21" s="10"/>
      <c r="AA21" s="286"/>
      <c r="AB21" s="286"/>
      <c r="AC21" s="286"/>
      <c r="AD21" s="286"/>
      <c r="AE21" s="286"/>
      <c r="AF21" s="286"/>
      <c r="AG21" s="286"/>
      <c r="AH21" s="286"/>
    </row>
    <row r="22" spans="1:34" ht="22.15" customHeight="1" x14ac:dyDescent="0.35">
      <c r="A22" s="91" t="s">
        <v>33</v>
      </c>
      <c r="B22" s="157" t="str">
        <f>IF(CDP!D25="PF",CDP!C8-CDP!C25,"ERREUR")</f>
        <v>ERREUR</v>
      </c>
      <c r="C22" s="86" t="e">
        <f t="shared" si="3"/>
        <v>#VALUE!</v>
      </c>
      <c r="D22" s="87" t="e">
        <f>IF(C22&lt;90%,B22,9*(B23+B24+B21+B20))</f>
        <v>#VALUE!</v>
      </c>
      <c r="E22" s="86" t="e">
        <f t="shared" si="2"/>
        <v>#VALUE!</v>
      </c>
      <c r="F22" s="80" t="e">
        <f t="shared" si="4"/>
        <v>#VALUE!</v>
      </c>
      <c r="G22" s="499" t="e">
        <f>F22</f>
        <v>#VALUE!</v>
      </c>
      <c r="H22" s="499"/>
      <c r="I22" s="26" t="s">
        <v>87</v>
      </c>
      <c r="J22" s="37"/>
      <c r="K22" s="24" t="e">
        <f>IF(B33=0,0,IF(B33&gt;K21,K21,B33))</f>
        <v>#VALUE!</v>
      </c>
      <c r="M22" s="848" t="s">
        <v>89</v>
      </c>
      <c r="N22" s="849"/>
      <c r="O22" s="849"/>
      <c r="P22" s="849"/>
      <c r="Q22" s="849"/>
      <c r="R22" s="849"/>
      <c r="S22" s="849"/>
      <c r="T22" s="850"/>
      <c r="U22" s="10"/>
      <c r="V22" s="10"/>
      <c r="W22" s="10"/>
      <c r="X22" s="10"/>
      <c r="AA22" s="286"/>
      <c r="AB22" s="286"/>
      <c r="AC22" s="286"/>
      <c r="AD22" s="286"/>
      <c r="AE22" s="286"/>
      <c r="AF22" s="286"/>
      <c r="AG22" s="286"/>
      <c r="AH22" s="286"/>
    </row>
    <row r="23" spans="1:34" ht="21.65" customHeight="1" thickBot="1" x14ac:dyDescent="0.4">
      <c r="A23" s="91" t="s">
        <v>36</v>
      </c>
      <c r="B23" s="157" t="str">
        <f>IF(CDP!D26="PF",CDP!C9-CDP!C26,"ERREUR")</f>
        <v>ERREUR</v>
      </c>
      <c r="C23" s="86" t="e">
        <f t="shared" si="3"/>
        <v>#VALUE!</v>
      </c>
      <c r="D23" s="87" t="e">
        <f>IF(C23&lt;90%,B23,9*(B20+B24+B22+B21))</f>
        <v>#VALUE!</v>
      </c>
      <c r="E23" s="86" t="e">
        <f t="shared" si="2"/>
        <v>#VALUE!</v>
      </c>
      <c r="F23" s="80" t="e">
        <f t="shared" si="4"/>
        <v>#VALUE!</v>
      </c>
      <c r="G23" s="499" t="e">
        <f>F23</f>
        <v>#VALUE!</v>
      </c>
      <c r="H23" s="499"/>
      <c r="I23" s="26" t="s">
        <v>90</v>
      </c>
      <c r="K23" s="24" t="e">
        <f>K22+K20</f>
        <v>#VALUE!</v>
      </c>
      <c r="M23" s="851"/>
      <c r="N23" s="852"/>
      <c r="O23" s="852"/>
      <c r="P23" s="852"/>
      <c r="Q23" s="852"/>
      <c r="R23" s="852"/>
      <c r="S23" s="852"/>
      <c r="T23" s="853"/>
      <c r="U23" s="273"/>
      <c r="V23" s="282"/>
      <c r="W23" s="284"/>
    </row>
    <row r="24" spans="1:34" ht="28.15" customHeight="1" thickBot="1" x14ac:dyDescent="0.4">
      <c r="A24" s="91" t="s">
        <v>34</v>
      </c>
      <c r="B24" s="157" t="str">
        <f>IF(CDP!D27="PF",CDP!C10-CDP!C27,"ERREUR")</f>
        <v>ERREUR</v>
      </c>
      <c r="C24" s="86" t="e">
        <f t="shared" si="3"/>
        <v>#VALUE!</v>
      </c>
      <c r="D24" s="87" t="e">
        <f>IF(C24&lt;90%,B24,9*(B23+B20+B21+B22))</f>
        <v>#VALUE!</v>
      </c>
      <c r="E24" s="86" t="e">
        <f t="shared" si="2"/>
        <v>#VALUE!</v>
      </c>
      <c r="F24" s="80" t="e">
        <f t="shared" si="4"/>
        <v>#VALUE!</v>
      </c>
      <c r="G24" s="499" t="e">
        <f>F24</f>
        <v>#VALUE!</v>
      </c>
      <c r="H24" s="499"/>
      <c r="I24" s="38" t="s">
        <v>68</v>
      </c>
      <c r="K24" s="15" t="e">
        <f>G26+G30+K23</f>
        <v>#VALUE!</v>
      </c>
      <c r="M24" s="634" t="s">
        <v>112</v>
      </c>
      <c r="N24" s="635"/>
      <c r="O24" s="635"/>
      <c r="P24" s="635"/>
      <c r="Q24" s="635"/>
      <c r="R24" s="636" t="e">
        <f>S33+S37+S41</f>
        <v>#VALUE!</v>
      </c>
      <c r="S24" s="637"/>
      <c r="T24" s="638"/>
      <c r="U24" s="273"/>
      <c r="V24" s="276" t="s">
        <v>21</v>
      </c>
      <c r="W24" s="277"/>
      <c r="X24" s="274" t="e">
        <f>S33*20/80</f>
        <v>#VALUE!</v>
      </c>
    </row>
    <row r="25" spans="1:34" ht="19.899999999999999" customHeight="1" thickBot="1" x14ac:dyDescent="0.4">
      <c r="A25" s="146" t="s">
        <v>37</v>
      </c>
      <c r="B25" s="158">
        <f>SUM(B20:B24)</f>
        <v>0</v>
      </c>
      <c r="C25" s="29"/>
      <c r="D25" s="29"/>
      <c r="E25" s="249"/>
      <c r="F25" s="250"/>
      <c r="G25" s="32"/>
      <c r="H25" s="32"/>
      <c r="I25" s="26"/>
      <c r="K25" s="15"/>
      <c r="M25" s="870" t="s">
        <v>114</v>
      </c>
      <c r="N25" s="871"/>
      <c r="O25" s="871"/>
      <c r="P25" s="871"/>
      <c r="Q25" s="872"/>
      <c r="R25" s="873" t="e">
        <f>S35+S39+S45</f>
        <v>#VALUE!</v>
      </c>
      <c r="S25" s="874"/>
      <c r="T25" s="875"/>
      <c r="V25" s="276" t="s">
        <v>24</v>
      </c>
      <c r="W25" s="169"/>
      <c r="X25" s="274" t="e">
        <f>N34+N35+N36+N37</f>
        <v>#VALUE!</v>
      </c>
    </row>
    <row r="26" spans="1:34" ht="31.9" customHeight="1" thickBot="1" x14ac:dyDescent="0.4">
      <c r="A26" s="609"/>
      <c r="B26" s="609"/>
      <c r="C26" s="33"/>
      <c r="D26" s="861" t="s">
        <v>43</v>
      </c>
      <c r="E26" s="862"/>
      <c r="F26" s="862"/>
      <c r="G26" s="863" t="e">
        <f>SUM(G20:G24)</f>
        <v>#VALUE!</v>
      </c>
      <c r="H26" s="864"/>
      <c r="I26" s="26" t="s">
        <v>96</v>
      </c>
      <c r="K26" s="24" t="e">
        <f>0.1*K24</f>
        <v>#VALUE!</v>
      </c>
      <c r="M26" s="484" t="s">
        <v>151</v>
      </c>
      <c r="N26" s="485"/>
      <c r="O26" s="485"/>
      <c r="P26" s="485"/>
      <c r="Q26" s="485"/>
      <c r="R26" s="485"/>
      <c r="S26" s="485"/>
      <c r="T26" s="486"/>
      <c r="V26" s="276" t="s">
        <v>29</v>
      </c>
      <c r="W26" s="169"/>
      <c r="X26" s="274" t="e">
        <f>IF((S33*100/R24)&gt;80,100-(S33*100/R24),20)</f>
        <v>#VALUE!</v>
      </c>
    </row>
    <row r="27" spans="1:34" ht="21.65" customHeight="1" x14ac:dyDescent="0.35">
      <c r="A27" s="70" t="s">
        <v>46</v>
      </c>
      <c r="B27" s="42" t="str">
        <f>IF(CDP!D28="PF",CDP!C12-CDP!C28,"ERREUR")</f>
        <v>ERREUR</v>
      </c>
      <c r="C27" s="34"/>
      <c r="D27" s="857" t="s">
        <v>50</v>
      </c>
      <c r="E27" s="858"/>
      <c r="F27" s="858"/>
      <c r="G27" s="5" t="e">
        <f>IF(F4=0,0,G26*100/F4)</f>
        <v>#VALUE!</v>
      </c>
      <c r="H27" s="6" t="s">
        <v>41</v>
      </c>
      <c r="I27" s="26" t="s">
        <v>78</v>
      </c>
      <c r="K27" s="21" t="e">
        <f>IF(K26=0,0,IF(B34+B35+B36&gt;K26,K26,B34+B35+B36))</f>
        <v>#VALUE!</v>
      </c>
      <c r="M27" s="854" t="s">
        <v>4</v>
      </c>
      <c r="N27" s="855" t="s">
        <v>20</v>
      </c>
      <c r="O27" s="793" t="s">
        <v>6</v>
      </c>
      <c r="P27" s="793" t="s">
        <v>18</v>
      </c>
      <c r="Q27" s="793" t="s">
        <v>8</v>
      </c>
      <c r="R27" s="793" t="s">
        <v>9</v>
      </c>
      <c r="S27" s="793" t="s">
        <v>10</v>
      </c>
      <c r="T27" s="793"/>
      <c r="U27" s="275"/>
      <c r="V27" s="276" t="s">
        <v>35</v>
      </c>
      <c r="W27" s="169"/>
      <c r="X27" s="274" t="e">
        <f>IF(X25&gt;X24,X24,X25)</f>
        <v>#VALUE!</v>
      </c>
    </row>
    <row r="28" spans="1:34" ht="27.65" customHeight="1" thickBot="1" x14ac:dyDescent="0.4">
      <c r="A28" s="70" t="s">
        <v>49</v>
      </c>
      <c r="B28" s="39" t="str">
        <f>IF(CDP!D29="PF",CDP!C13-CDP!C29,"ERREUR")</f>
        <v>ERREUR</v>
      </c>
      <c r="C28" s="34"/>
      <c r="D28" s="846" t="s">
        <v>51</v>
      </c>
      <c r="E28" s="847"/>
      <c r="F28" s="847"/>
      <c r="G28" s="859" t="e">
        <f>IF(B25&lt;G26,0,B25-G26)</f>
        <v>#VALUE!</v>
      </c>
      <c r="H28" s="860"/>
      <c r="I28" s="26"/>
      <c r="K28" s="15"/>
      <c r="M28" s="854"/>
      <c r="N28" s="856"/>
      <c r="O28" s="793"/>
      <c r="P28" s="793"/>
      <c r="Q28" s="793"/>
      <c r="R28" s="793"/>
      <c r="S28" s="793"/>
      <c r="T28" s="793"/>
      <c r="U28" s="248"/>
      <c r="V28" s="164"/>
    </row>
    <row r="29" spans="1:34" ht="21" customHeight="1" thickBot="1" x14ac:dyDescent="0.4">
      <c r="A29" s="74" t="s">
        <v>58</v>
      </c>
      <c r="B29" s="39">
        <f>CDP!C14</f>
        <v>0</v>
      </c>
      <c r="C29" s="34"/>
      <c r="D29" s="865"/>
      <c r="E29" s="865"/>
      <c r="F29" s="865"/>
      <c r="G29" s="747"/>
      <c r="H29" s="747"/>
      <c r="I29" s="26" t="s">
        <v>84</v>
      </c>
      <c r="K29" s="15" t="e">
        <f>K14-K27</f>
        <v>#VALUE!</v>
      </c>
      <c r="M29" s="90" t="s">
        <v>23</v>
      </c>
      <c r="N29" s="140" t="str">
        <f>IF(CDP!D$23="PF",CDP!C$23,"")</f>
        <v/>
      </c>
      <c r="O29" s="165" t="e">
        <f>N29/(N$45+0.00001)</f>
        <v>#VALUE!</v>
      </c>
      <c r="P29" s="166" t="e">
        <f>IF(O29&lt;80%,N29,4*(N30+N31))</f>
        <v>#VALUE!</v>
      </c>
      <c r="Q29" s="165" t="e">
        <f>S29/(R$24+0.00001)</f>
        <v>#VALUE!</v>
      </c>
      <c r="R29" s="166" t="e">
        <f>IF(OR($P$29=$N$32,$P$30=$N$32,$P$31=$N$32,O29=100%),0,P29)</f>
        <v>#VALUE!</v>
      </c>
      <c r="S29" s="831" t="e">
        <f>R29</f>
        <v>#VALUE!</v>
      </c>
      <c r="T29" s="831"/>
      <c r="U29" s="248"/>
      <c r="V29" s="276" t="s">
        <v>44</v>
      </c>
      <c r="W29" s="169"/>
      <c r="X29" s="274" t="e">
        <f>IF(X27=X24,0,IF(X27&lt;X24,X24-X27,""))</f>
        <v>#VALUE!</v>
      </c>
    </row>
    <row r="30" spans="1:34" ht="24.65" customHeight="1" x14ac:dyDescent="0.35">
      <c r="A30" s="70" t="s">
        <v>63</v>
      </c>
      <c r="B30" s="39">
        <f>CDP!C15</f>
        <v>0</v>
      </c>
      <c r="C30" s="34"/>
      <c r="D30" s="832" t="s">
        <v>57</v>
      </c>
      <c r="E30" s="833"/>
      <c r="F30" s="833"/>
      <c r="G30" s="863" t="e">
        <f>K8</f>
        <v>#VALUE!</v>
      </c>
      <c r="H30" s="864"/>
      <c r="I30" s="26" t="s">
        <v>87</v>
      </c>
      <c r="K30" s="15" t="e">
        <f>IF(B33=0,0,IF(B33&gt;K29,K29,B33))</f>
        <v>#VALUE!</v>
      </c>
      <c r="M30" s="91" t="s">
        <v>34</v>
      </c>
      <c r="N30" s="167" t="str">
        <f>IF(CDP!D$27="PF",CDP!C$27,"")</f>
        <v/>
      </c>
      <c r="O30" s="165" t="e">
        <f t="shared" ref="O30:O31" si="5">N30/(N$45+0.00001)</f>
        <v>#VALUE!</v>
      </c>
      <c r="P30" s="166" t="e">
        <f>IF(O30&lt;80%,N30,4*(N31+N29))</f>
        <v>#VALUE!</v>
      </c>
      <c r="Q30" s="165" t="e">
        <f>S30/(R$24+0.00001)</f>
        <v>#VALUE!</v>
      </c>
      <c r="R30" s="166" t="e">
        <f>IF(OR($P$29=$N$32,$P$30=$N$32,$P$31=$N$32,O30=100%),0,P30)</f>
        <v>#VALUE!</v>
      </c>
      <c r="S30" s="831" t="e">
        <f>R30</f>
        <v>#VALUE!</v>
      </c>
      <c r="T30" s="831"/>
      <c r="V30" s="276" t="s">
        <v>48</v>
      </c>
      <c r="W30" s="169"/>
      <c r="X30" s="274" t="e">
        <f>IF(X29&lt;N42+N41+N43+N40,X29,N42+N41+N43+N40)</f>
        <v>#VALUE!</v>
      </c>
    </row>
    <row r="31" spans="1:34" ht="18.5" thickBot="1" x14ac:dyDescent="0.4">
      <c r="A31" s="75" t="s">
        <v>54</v>
      </c>
      <c r="B31" s="8">
        <f>SUM(B27:B30)</f>
        <v>0</v>
      </c>
      <c r="C31" s="29"/>
      <c r="D31" s="857" t="s">
        <v>50</v>
      </c>
      <c r="E31" s="858"/>
      <c r="F31" s="858"/>
      <c r="G31" s="5" t="e">
        <f>IF(F4=0,0,G30*100/F4)</f>
        <v>#VALUE!</v>
      </c>
      <c r="H31" s="6" t="s">
        <v>41</v>
      </c>
      <c r="I31" s="26" t="s">
        <v>90</v>
      </c>
      <c r="K31" s="21" t="e">
        <f>K30+K27</f>
        <v>#VALUE!</v>
      </c>
      <c r="M31" s="91" t="s">
        <v>28</v>
      </c>
      <c r="N31" s="168" t="str">
        <f>IF(CDP!D$24="PF",CDP!C$24,"")</f>
        <v/>
      </c>
      <c r="O31" s="165" t="e">
        <f t="shared" si="5"/>
        <v>#VALUE!</v>
      </c>
      <c r="P31" s="166" t="e">
        <f>IF(O31&lt;80%,N31,4*(N30+N29))</f>
        <v>#VALUE!</v>
      </c>
      <c r="Q31" s="165" t="e">
        <f>S31/(R$24+0.00001)</f>
        <v>#VALUE!</v>
      </c>
      <c r="R31" s="166" t="e">
        <f>IF(OR($P$29=$N$32,$P$30=$N$32,$P$31=$N$32,O31=100%),0,P31)</f>
        <v>#VALUE!</v>
      </c>
      <c r="S31" s="831" t="e">
        <f>R31</f>
        <v>#VALUE!</v>
      </c>
      <c r="T31" s="831"/>
      <c r="U31" s="248"/>
      <c r="V31" s="282" t="s">
        <v>55</v>
      </c>
      <c r="W31" s="169"/>
      <c r="X31" s="283" t="e">
        <f>IF(X30=0,0,X30*100/X35)</f>
        <v>#VALUE!</v>
      </c>
    </row>
    <row r="32" spans="1:34" ht="23.5" customHeight="1" thickBot="1" x14ac:dyDescent="0.4">
      <c r="C32" s="40"/>
      <c r="D32" s="834" t="s">
        <v>67</v>
      </c>
      <c r="E32" s="835"/>
      <c r="F32" s="835"/>
      <c r="G32" s="859" t="e">
        <f>IF(B31&lt;G30,0,B31-G30)</f>
        <v>#VALUE!</v>
      </c>
      <c r="H32" s="860"/>
      <c r="I32" s="38"/>
      <c r="K32" s="15"/>
      <c r="M32" s="175" t="s">
        <v>37</v>
      </c>
      <c r="N32" s="60">
        <f>SUM(N29:N31)</f>
        <v>0</v>
      </c>
      <c r="O32" s="163"/>
      <c r="P32" s="50"/>
      <c r="Q32" s="162"/>
      <c r="R32" s="50"/>
      <c r="S32" s="840"/>
      <c r="T32" s="840"/>
      <c r="U32" s="248"/>
      <c r="V32" s="282" t="s">
        <v>59</v>
      </c>
      <c r="W32" s="169"/>
      <c r="X32" s="274" t="e">
        <f>IF(X30=0,0,IF(X31&gt;20,0.25*X35-0.25*X30,X30))</f>
        <v>#VALUE!</v>
      </c>
    </row>
    <row r="33" spans="1:26" ht="22.15" customHeight="1" thickBot="1" x14ac:dyDescent="0.4">
      <c r="A33" s="151" t="s">
        <v>66</v>
      </c>
      <c r="B33" s="42" t="str">
        <f>IF(CDP!D30="PF",CDP!C17-CDP!C30,"ERREUR")</f>
        <v>ERREUR</v>
      </c>
      <c r="C33" s="34"/>
      <c r="D33" s="865"/>
      <c r="E33" s="865"/>
      <c r="F33" s="865"/>
      <c r="G33" s="747"/>
      <c r="H33" s="747"/>
      <c r="K33" s="15"/>
      <c r="M33" s="159"/>
      <c r="N33" s="159"/>
      <c r="O33" s="163"/>
      <c r="P33" s="841" t="s">
        <v>43</v>
      </c>
      <c r="Q33" s="842"/>
      <c r="R33" s="843"/>
      <c r="S33" s="762" t="e">
        <f>SUM(S29,S30,S31)</f>
        <v>#VALUE!</v>
      </c>
      <c r="T33" s="763"/>
      <c r="U33" s="279"/>
      <c r="V33" s="282"/>
      <c r="W33" s="169"/>
    </row>
    <row r="34" spans="1:26" ht="27" customHeight="1" thickBot="1" x14ac:dyDescent="0.4">
      <c r="A34" s="69" t="s">
        <v>70</v>
      </c>
      <c r="B34" s="39" t="str">
        <f>IF(CDP!D31="PF",CDP!C18-CDP!C31,"ERREUR")</f>
        <v>ERREUR</v>
      </c>
      <c r="C34" s="34"/>
      <c r="D34" s="836" t="s">
        <v>76</v>
      </c>
      <c r="E34" s="837"/>
      <c r="F34" s="837"/>
      <c r="G34" s="863" t="e">
        <f>IF(OR(K22&gt;K21,K22=K21),K23,K31)</f>
        <v>#VALUE!</v>
      </c>
      <c r="H34" s="864"/>
      <c r="I34" s="23" t="s">
        <v>100</v>
      </c>
      <c r="K34" s="15"/>
      <c r="M34" s="176"/>
      <c r="N34" s="49"/>
      <c r="O34" s="169"/>
      <c r="P34" s="844" t="s">
        <v>47</v>
      </c>
      <c r="Q34" s="845"/>
      <c r="R34" s="845"/>
      <c r="S34" s="63" t="e">
        <f>IF(R24=0,0,S33*100/R24)</f>
        <v>#VALUE!</v>
      </c>
      <c r="T34" s="64" t="s">
        <v>41</v>
      </c>
      <c r="U34" s="280"/>
      <c r="V34" s="282"/>
      <c r="W34" s="169"/>
    </row>
    <row r="35" spans="1:26" ht="23.5" customHeight="1" thickBot="1" x14ac:dyDescent="0.4">
      <c r="A35" s="69" t="s">
        <v>72</v>
      </c>
      <c r="B35" s="39" t="str">
        <f>IF(CDP!D32="PF",CDP!C19-CDP!C32,"ERREUR")</f>
        <v>ERREUR</v>
      </c>
      <c r="C35" s="34"/>
      <c r="D35" s="857" t="s">
        <v>50</v>
      </c>
      <c r="E35" s="858"/>
      <c r="F35" s="858"/>
      <c r="G35" s="5" t="e">
        <f>IF(F4=0,0,G34*100/F4)</f>
        <v>#VALUE!</v>
      </c>
      <c r="H35" s="6" t="s">
        <v>41</v>
      </c>
      <c r="I35" s="26" t="s">
        <v>101</v>
      </c>
      <c r="K35" s="15">
        <f>B25</f>
        <v>0</v>
      </c>
      <c r="M35" s="70" t="s">
        <v>36</v>
      </c>
      <c r="N35" s="22" t="str">
        <f>IF(CDP!D$26="PF",CDP!C$26,"")</f>
        <v/>
      </c>
      <c r="O35" s="164"/>
      <c r="P35" s="846" t="s">
        <v>51</v>
      </c>
      <c r="Q35" s="847"/>
      <c r="R35" s="847"/>
      <c r="S35" s="766" t="e">
        <f>IF(N32&lt;S33,0,N32-S33)</f>
        <v>#VALUE!</v>
      </c>
      <c r="T35" s="767"/>
      <c r="U35" s="281"/>
      <c r="V35" s="282" t="s">
        <v>64</v>
      </c>
      <c r="W35" s="169"/>
      <c r="X35" s="274" t="e">
        <f>S33+S37+X30</f>
        <v>#VALUE!</v>
      </c>
    </row>
    <row r="36" spans="1:26" ht="22.15" customHeight="1" thickBot="1" x14ac:dyDescent="0.4">
      <c r="A36" s="69" t="s">
        <v>160</v>
      </c>
      <c r="B36" s="39" t="str">
        <f>IF(CDP!D33="PF",CDP!C20-CDP!C33,"ERREUR")</f>
        <v>ERREUR</v>
      </c>
      <c r="C36" s="34"/>
      <c r="D36" s="868" t="s">
        <v>161</v>
      </c>
      <c r="E36" s="869"/>
      <c r="F36" s="869"/>
      <c r="G36" s="770" t="e">
        <f>IF(OR(K22&gt;K21,K22=K21),K20,K27)</f>
        <v>#VALUE!</v>
      </c>
      <c r="H36" s="771"/>
      <c r="I36" s="26" t="s">
        <v>102</v>
      </c>
      <c r="K36" s="15">
        <f>B37+B31</f>
        <v>0</v>
      </c>
      <c r="M36" s="70" t="s">
        <v>33</v>
      </c>
      <c r="N36" s="22" t="str">
        <f>IF(CDP!D$25="PF",CDP!C$25,"")</f>
        <v/>
      </c>
      <c r="O36" s="164"/>
      <c r="P36" s="65"/>
      <c r="Q36" s="65"/>
      <c r="R36" s="65"/>
      <c r="S36" s="65"/>
      <c r="T36" s="65"/>
      <c r="U36" s="280"/>
      <c r="V36" s="282" t="s">
        <v>68</v>
      </c>
      <c r="W36" s="284"/>
      <c r="X36" s="274" t="e">
        <f>S33+S37+X32</f>
        <v>#VALUE!</v>
      </c>
    </row>
    <row r="37" spans="1:26" ht="16.5" thickBot="1" x14ac:dyDescent="0.4">
      <c r="A37" s="77" t="s">
        <v>80</v>
      </c>
      <c r="B37" s="8">
        <f>SUM(B33:B36)</f>
        <v>0</v>
      </c>
      <c r="C37" s="29"/>
      <c r="D37" s="857" t="s">
        <v>50</v>
      </c>
      <c r="E37" s="858"/>
      <c r="F37" s="858"/>
      <c r="G37" s="5" t="e">
        <f>IF(F4=0,0,G36*100/F4)</f>
        <v>#VALUE!</v>
      </c>
      <c r="H37" s="6" t="s">
        <v>41</v>
      </c>
      <c r="I37" s="26" t="s">
        <v>45</v>
      </c>
      <c r="K37" s="15">
        <f>B25</f>
        <v>0</v>
      </c>
      <c r="M37" s="177"/>
      <c r="N37" s="55"/>
      <c r="O37" s="164"/>
      <c r="P37" s="832" t="s">
        <v>57</v>
      </c>
      <c r="Q37" s="833"/>
      <c r="R37" s="833"/>
      <c r="S37" s="750" t="e">
        <f>X27</f>
        <v>#VALUE!</v>
      </c>
      <c r="T37" s="751"/>
      <c r="U37" s="280"/>
      <c r="V37" s="276"/>
      <c r="W37" s="284"/>
    </row>
    <row r="38" spans="1:26" ht="20.5" customHeight="1" thickBot="1" x14ac:dyDescent="0.4">
      <c r="A38" s="128" t="s">
        <v>61</v>
      </c>
      <c r="B38" s="129">
        <f>B37+B31+B25</f>
        <v>0</v>
      </c>
      <c r="C38" s="31"/>
      <c r="D38" s="866" t="s">
        <v>88</v>
      </c>
      <c r="E38" s="867"/>
      <c r="F38" s="867"/>
      <c r="G38" s="859" t="e">
        <f>IF(B37&lt;G34,0,B37-G34)</f>
        <v>#VALUE!</v>
      </c>
      <c r="H38" s="860"/>
      <c r="I38" s="26" t="s">
        <v>104</v>
      </c>
      <c r="K38" s="15">
        <f>IF(K36&gt;K37,K37,K36)</f>
        <v>0</v>
      </c>
      <c r="M38" s="127" t="s">
        <v>54</v>
      </c>
      <c r="N38" s="61">
        <f>SUM(N35:N36)</f>
        <v>0</v>
      </c>
      <c r="O38" s="164"/>
      <c r="P38" s="817" t="s">
        <v>62</v>
      </c>
      <c r="Q38" s="818"/>
      <c r="R38" s="819"/>
      <c r="S38" s="63" t="e">
        <f>IF(R24=0,0,S37*100/R24)</f>
        <v>#VALUE!</v>
      </c>
      <c r="T38" s="64" t="s">
        <v>41</v>
      </c>
      <c r="U38" s="280"/>
      <c r="V38" s="282" t="s">
        <v>74</v>
      </c>
      <c r="W38" s="284"/>
      <c r="X38" s="274" t="e">
        <f>(N41+N42+N43)-(1/0.9)*(N41+N42+N43)+(0.1/0.9)*(S33+S37+N41+N42+N43+N40)</f>
        <v>#VALUE!</v>
      </c>
    </row>
    <row r="39" spans="1:26" ht="16.5" thickBot="1" x14ac:dyDescent="0.4">
      <c r="A39" s="610"/>
      <c r="B39" s="610"/>
      <c r="C39" s="610"/>
      <c r="D39" s="610"/>
      <c r="E39" s="610"/>
      <c r="F39" s="730"/>
      <c r="G39" s="730"/>
      <c r="H39" s="730"/>
      <c r="I39" s="137" t="s">
        <v>106</v>
      </c>
      <c r="J39" s="31"/>
      <c r="K39" s="116">
        <f>IF(K36&gt;K37,K36-K37,0)</f>
        <v>0</v>
      </c>
      <c r="O39" s="160"/>
      <c r="P39" s="834" t="s">
        <v>67</v>
      </c>
      <c r="Q39" s="835"/>
      <c r="R39" s="835"/>
      <c r="S39" s="756" t="e">
        <f>IF(N38&lt;S37,0,N38-S37)</f>
        <v>#VALUE!</v>
      </c>
      <c r="T39" s="757"/>
      <c r="U39" s="281"/>
      <c r="V39" s="282" t="s">
        <v>78</v>
      </c>
      <c r="W39" s="284"/>
      <c r="X39" s="274" t="e">
        <f>IF(X38=0,0,IF(N41+N42+N43&gt;X38,X38,N41+N42+N43))</f>
        <v>#VALUE!</v>
      </c>
    </row>
    <row r="40" spans="1:26" ht="16.149999999999999" customHeight="1" thickBot="1" x14ac:dyDescent="0.4">
      <c r="A40" s="31"/>
      <c r="B40" s="31"/>
      <c r="C40" s="116"/>
      <c r="D40" s="31"/>
      <c r="E40" s="31"/>
      <c r="F40" s="31"/>
      <c r="G40" s="31"/>
      <c r="H40" s="31"/>
      <c r="I40" s="137" t="s">
        <v>107</v>
      </c>
      <c r="J40" s="10"/>
      <c r="K40" s="118">
        <f>IF(B16&gt;K38,B16-K38,0)</f>
        <v>0</v>
      </c>
      <c r="M40" s="69" t="s">
        <v>66</v>
      </c>
      <c r="N40" s="22" t="str">
        <f>IF(CDP!D$30="PF",CDP!C$30,"")</f>
        <v/>
      </c>
      <c r="O40" s="160"/>
      <c r="P40" s="65"/>
      <c r="Q40" s="65"/>
      <c r="R40" s="65"/>
      <c r="S40" s="65"/>
      <c r="T40" s="65"/>
      <c r="U40" s="281"/>
      <c r="V40" s="282" t="s">
        <v>81</v>
      </c>
      <c r="W40" s="284"/>
      <c r="X40" s="274" t="e">
        <f>IF(X39&gt;X32,X32,X39)</f>
        <v>#VALUE!</v>
      </c>
    </row>
    <row r="41" spans="1:26" ht="16.149999999999999" customHeight="1" thickBot="1" x14ac:dyDescent="0.4">
      <c r="A41" s="31"/>
      <c r="B41" s="31"/>
      <c r="C41" s="116"/>
      <c r="D41" s="31"/>
      <c r="E41" s="31"/>
      <c r="F41" s="31"/>
      <c r="G41" s="31"/>
      <c r="H41" s="31"/>
      <c r="I41" s="137" t="s">
        <v>108</v>
      </c>
      <c r="J41" s="10"/>
      <c r="K41" s="118">
        <f>IF(B31&gt;K38,K38,B31)</f>
        <v>0</v>
      </c>
      <c r="M41" s="69" t="s">
        <v>70</v>
      </c>
      <c r="N41" s="22" t="str">
        <f>IF(CDP!D$31="PF",CDP!C$31,"")</f>
        <v/>
      </c>
      <c r="O41" s="160"/>
      <c r="P41" s="836" t="s">
        <v>76</v>
      </c>
      <c r="Q41" s="837"/>
      <c r="R41" s="837"/>
      <c r="S41" s="800" t="e">
        <f>IF(OR(X42&gt;X41,X42=X41),X43,X51)</f>
        <v>#VALUE!</v>
      </c>
      <c r="T41" s="801"/>
      <c r="U41" s="281"/>
      <c r="V41" s="282" t="s">
        <v>84</v>
      </c>
      <c r="W41" s="284"/>
      <c r="X41" s="283" t="e">
        <f>X32-X40</f>
        <v>#VALUE!</v>
      </c>
    </row>
    <row r="42" spans="1:26" ht="16.149999999999999" customHeight="1" thickBot="1" x14ac:dyDescent="0.4">
      <c r="A42" s="31"/>
      <c r="B42" s="31"/>
      <c r="C42" s="116"/>
      <c r="D42" s="31"/>
      <c r="E42" s="31"/>
      <c r="F42" s="31"/>
      <c r="G42" s="31"/>
      <c r="H42" s="31"/>
      <c r="I42" s="137" t="s">
        <v>109</v>
      </c>
      <c r="J42" s="10"/>
      <c r="K42" s="118">
        <f>IF(K41=K38,0,K38-K41)</f>
        <v>0</v>
      </c>
      <c r="M42" s="69" t="s">
        <v>72</v>
      </c>
      <c r="N42" s="22" t="str">
        <f>IF(CDP!D$32="PF",CDP!C$32,"")</f>
        <v/>
      </c>
      <c r="O42" s="161"/>
      <c r="P42" s="817" t="s">
        <v>62</v>
      </c>
      <c r="Q42" s="818"/>
      <c r="R42" s="819"/>
      <c r="S42" s="63" t="e">
        <f>IF(R24=0,0,S41*100/R24)</f>
        <v>#VALUE!</v>
      </c>
      <c r="T42" s="64" t="s">
        <v>41</v>
      </c>
      <c r="U42" s="280"/>
      <c r="V42" s="282" t="s">
        <v>87</v>
      </c>
      <c r="W42" s="284"/>
      <c r="X42" s="274" t="e">
        <f>IF(N40=0,0,IF(N40&gt;X41,X41,N40))</f>
        <v>#VALUE!</v>
      </c>
    </row>
    <row r="43" spans="1:26" ht="18" x14ac:dyDescent="0.35">
      <c r="A43" s="31"/>
      <c r="B43" s="31"/>
      <c r="C43" s="116"/>
      <c r="D43" s="31"/>
      <c r="E43" s="31"/>
      <c r="F43" s="31"/>
      <c r="G43" s="31"/>
      <c r="H43" s="31"/>
      <c r="I43" s="137" t="s">
        <v>111</v>
      </c>
      <c r="J43" s="10"/>
      <c r="K43" s="118">
        <f>IF(K42&gt;0,B37-K42,B37)</f>
        <v>0</v>
      </c>
      <c r="M43" s="69" t="s">
        <v>75</v>
      </c>
      <c r="N43" s="22" t="str">
        <f>IF(CDP!D$33="PF",CDP!C$33,"")</f>
        <v/>
      </c>
      <c r="O43" s="164"/>
      <c r="P43" s="817" t="s">
        <v>83</v>
      </c>
      <c r="Q43" s="818"/>
      <c r="R43" s="819"/>
      <c r="S43" s="838" t="e">
        <f>IF(OR(X42&gt;X41,X42=X41),X40,X47)</f>
        <v>#VALUE!</v>
      </c>
      <c r="T43" s="839"/>
      <c r="U43" s="280"/>
      <c r="V43" s="282" t="s">
        <v>90</v>
      </c>
      <c r="X43" s="274" t="e">
        <f>X42+X40</f>
        <v>#VALUE!</v>
      </c>
    </row>
    <row r="44" spans="1:26" ht="15" customHeight="1" thickBot="1" x14ac:dyDescent="0.4">
      <c r="A44" s="31"/>
      <c r="B44" s="31"/>
      <c r="C44" s="116"/>
      <c r="D44" s="31"/>
      <c r="E44" s="31"/>
      <c r="F44" s="31"/>
      <c r="G44" s="31"/>
      <c r="H44" s="31"/>
      <c r="I44" s="31"/>
      <c r="J44" s="31"/>
      <c r="K44" s="31"/>
      <c r="M44" s="178" t="s">
        <v>80</v>
      </c>
      <c r="N44" s="56">
        <f>SUM(N40:N43)</f>
        <v>0</v>
      </c>
      <c r="O44" s="164"/>
      <c r="P44" s="817" t="s">
        <v>71</v>
      </c>
      <c r="Q44" s="818"/>
      <c r="R44" s="819"/>
      <c r="S44" s="63" t="e">
        <f>IF(R24=0,0,S43*100/R24)</f>
        <v>#VALUE!</v>
      </c>
      <c r="T44" s="64" t="s">
        <v>41</v>
      </c>
      <c r="U44" s="280"/>
      <c r="V44" s="282" t="s">
        <v>68</v>
      </c>
      <c r="X44" s="274" t="e">
        <f>S33+S37+X43</f>
        <v>#VALUE!</v>
      </c>
    </row>
    <row r="45" spans="1:26" ht="27.65" customHeight="1" thickBot="1" x14ac:dyDescent="0.4">
      <c r="A45" s="31"/>
      <c r="B45" s="31"/>
      <c r="C45" s="116"/>
      <c r="D45" s="31"/>
      <c r="E45" s="31"/>
      <c r="F45" s="31"/>
      <c r="G45" s="31"/>
      <c r="H45" s="31"/>
      <c r="I45" s="31"/>
      <c r="J45" s="31"/>
      <c r="K45" s="31"/>
      <c r="M45" s="172" t="s">
        <v>61</v>
      </c>
      <c r="N45" s="173">
        <f>N44+N38+N32</f>
        <v>0</v>
      </c>
      <c r="O45" s="164"/>
      <c r="P45" s="820" t="s">
        <v>88</v>
      </c>
      <c r="Q45" s="821"/>
      <c r="R45" s="822"/>
      <c r="S45" s="823" t="e">
        <f>IF(N44&lt;S41,0,N44-S41)</f>
        <v>#VALUE!</v>
      </c>
      <c r="T45" s="824"/>
      <c r="U45" s="281"/>
      <c r="V45" s="282"/>
    </row>
    <row r="46" spans="1:26" ht="15" customHeight="1" x14ac:dyDescent="0.35">
      <c r="A46" s="31"/>
      <c r="B46" s="31"/>
      <c r="C46" s="116"/>
      <c r="D46" s="31"/>
      <c r="E46" s="31"/>
      <c r="F46" s="31"/>
      <c r="G46" s="31"/>
      <c r="H46" s="31"/>
      <c r="I46" s="31"/>
      <c r="J46" s="31"/>
      <c r="K46" s="31"/>
      <c r="O46" s="164"/>
      <c r="U46" s="280"/>
      <c r="V46" s="282" t="s">
        <v>96</v>
      </c>
      <c r="X46" s="274" t="e">
        <f>0.1*X44</f>
        <v>#VALUE!</v>
      </c>
    </row>
    <row r="47" spans="1:26" ht="15.65" customHeight="1" x14ac:dyDescent="0.35">
      <c r="A47" s="286"/>
      <c r="B47" s="286"/>
      <c r="C47" s="288"/>
      <c r="D47" s="286"/>
      <c r="E47" s="286"/>
      <c r="F47" s="286"/>
      <c r="G47" s="286"/>
      <c r="H47" s="286"/>
      <c r="I47" s="286"/>
      <c r="J47" s="286"/>
      <c r="K47" s="286"/>
      <c r="L47" s="286"/>
      <c r="M47" s="310"/>
      <c r="N47" s="310"/>
      <c r="O47" s="310"/>
      <c r="P47" s="310"/>
      <c r="Q47" s="310"/>
      <c r="R47" s="310"/>
      <c r="S47" s="310"/>
      <c r="T47" s="310"/>
      <c r="U47" s="311"/>
      <c r="V47" s="312" t="s">
        <v>78</v>
      </c>
      <c r="W47" s="310"/>
      <c r="X47" s="313" t="e">
        <f>IF(X46=0,0,IF(N41+N42+N43&gt;X46,X46,N41+N42+N43))</f>
        <v>#VALUE!</v>
      </c>
      <c r="Y47" s="234"/>
      <c r="Z47" s="234"/>
    </row>
    <row r="48" spans="1:26" ht="16.149999999999999" customHeight="1" x14ac:dyDescent="0.35">
      <c r="A48" s="286"/>
      <c r="B48" s="286"/>
      <c r="C48" s="288"/>
      <c r="D48" s="286"/>
      <c r="E48" s="286"/>
      <c r="F48" s="286"/>
      <c r="G48" s="286"/>
      <c r="H48" s="286"/>
      <c r="I48" s="286"/>
      <c r="J48" s="286"/>
      <c r="K48" s="286"/>
      <c r="L48" s="286"/>
      <c r="M48" s="310"/>
      <c r="N48" s="310"/>
      <c r="O48" s="310"/>
      <c r="P48" s="310"/>
      <c r="Q48" s="310"/>
      <c r="R48" s="310"/>
      <c r="S48" s="310"/>
      <c r="T48" s="310"/>
      <c r="U48" s="314"/>
      <c r="V48" s="312"/>
      <c r="W48" s="310"/>
      <c r="X48" s="313"/>
      <c r="Y48" s="234"/>
      <c r="Z48" s="234"/>
    </row>
    <row r="49" spans="1:26" ht="16.149999999999999" customHeight="1" x14ac:dyDescent="0.35">
      <c r="A49" s="286"/>
      <c r="B49" s="286"/>
      <c r="C49" s="286"/>
      <c r="D49" s="286"/>
      <c r="E49" s="286"/>
      <c r="F49" s="286"/>
      <c r="G49" s="286"/>
      <c r="H49" s="286"/>
      <c r="I49" s="286"/>
      <c r="J49" s="286"/>
      <c r="K49" s="286"/>
      <c r="L49" s="286"/>
      <c r="M49" s="310"/>
      <c r="N49" s="310"/>
      <c r="O49" s="310"/>
      <c r="P49" s="310"/>
      <c r="Q49" s="310"/>
      <c r="R49" s="310"/>
      <c r="S49" s="310"/>
      <c r="T49" s="310"/>
      <c r="U49" s="315"/>
      <c r="V49" s="312" t="s">
        <v>84</v>
      </c>
      <c r="W49" s="310"/>
      <c r="X49" s="313" t="e">
        <f>X32-X47</f>
        <v>#VALUE!</v>
      </c>
      <c r="Y49" s="234"/>
      <c r="Z49" s="234"/>
    </row>
    <row r="50" spans="1:26" ht="16.149999999999999" customHeight="1" x14ac:dyDescent="0.35">
      <c r="A50" s="286"/>
      <c r="B50" s="286"/>
      <c r="C50" s="286"/>
      <c r="D50" s="286"/>
      <c r="E50" s="286"/>
      <c r="F50" s="286"/>
      <c r="G50" s="286"/>
      <c r="H50" s="286"/>
      <c r="I50" s="286"/>
      <c r="J50" s="286"/>
      <c r="K50" s="286"/>
      <c r="L50" s="286"/>
      <c r="M50" s="310"/>
      <c r="N50" s="310"/>
      <c r="O50" s="310"/>
      <c r="P50" s="310"/>
      <c r="Q50" s="310"/>
      <c r="R50" s="310"/>
      <c r="S50" s="310"/>
      <c r="T50" s="310"/>
      <c r="U50" s="315"/>
      <c r="V50" s="312" t="s">
        <v>87</v>
      </c>
      <c r="W50" s="310"/>
      <c r="X50" s="313" t="e">
        <f>IF(N40=0,0,IF(N40&gt;X49,X49,N40))</f>
        <v>#VALUE!</v>
      </c>
      <c r="Y50" s="234"/>
      <c r="Z50" s="234"/>
    </row>
    <row r="51" spans="1:26" x14ac:dyDescent="0.35">
      <c r="A51" s="286"/>
      <c r="B51" s="286"/>
      <c r="C51" s="286"/>
      <c r="D51" s="286"/>
      <c r="E51" s="286"/>
      <c r="F51" s="286"/>
      <c r="G51" s="286"/>
      <c r="H51" s="286"/>
      <c r="I51" s="286"/>
      <c r="J51" s="286"/>
      <c r="K51" s="286"/>
      <c r="L51" s="286"/>
      <c r="M51" s="310"/>
      <c r="N51" s="310"/>
      <c r="O51" s="310"/>
      <c r="P51" s="310"/>
      <c r="Q51" s="310"/>
      <c r="R51" s="310"/>
      <c r="S51" s="310"/>
      <c r="T51" s="310"/>
      <c r="U51" s="315"/>
      <c r="V51" s="312" t="s">
        <v>90</v>
      </c>
      <c r="W51" s="310"/>
      <c r="X51" s="313" t="e">
        <f>X50+X47</f>
        <v>#VALUE!</v>
      </c>
      <c r="Y51" s="234"/>
      <c r="Z51" s="234"/>
    </row>
    <row r="52" spans="1:26" x14ac:dyDescent="0.35">
      <c r="A52" s="286"/>
      <c r="B52" s="286"/>
      <c r="C52" s="286"/>
      <c r="D52" s="286"/>
      <c r="E52" s="286"/>
      <c r="F52" s="286"/>
      <c r="G52" s="286"/>
      <c r="H52" s="286"/>
      <c r="I52" s="286"/>
      <c r="J52" s="286"/>
      <c r="K52" s="286"/>
      <c r="L52" s="286"/>
      <c r="M52" s="310"/>
      <c r="N52" s="310"/>
      <c r="O52" s="310"/>
      <c r="P52" s="310"/>
      <c r="Q52" s="310"/>
      <c r="R52" s="310"/>
      <c r="S52" s="310"/>
      <c r="T52" s="310"/>
      <c r="U52" s="310"/>
      <c r="V52" s="310"/>
      <c r="W52" s="310"/>
      <c r="X52" s="313"/>
      <c r="Y52" s="234"/>
      <c r="Z52" s="234"/>
    </row>
    <row r="53" spans="1:26" x14ac:dyDescent="0.35">
      <c r="A53" s="286"/>
      <c r="B53" s="286"/>
      <c r="C53" s="286"/>
      <c r="D53" s="286"/>
      <c r="E53" s="286"/>
      <c r="F53" s="286"/>
      <c r="G53" s="286"/>
      <c r="H53" s="286"/>
      <c r="I53" s="286"/>
      <c r="J53" s="286"/>
      <c r="K53" s="288"/>
      <c r="L53" s="286"/>
      <c r="M53" s="310"/>
      <c r="N53" s="310"/>
      <c r="O53" s="310"/>
      <c r="P53" s="310"/>
      <c r="Q53" s="310"/>
      <c r="R53" s="310"/>
      <c r="S53" s="310"/>
      <c r="T53" s="310"/>
      <c r="U53" s="315"/>
      <c r="V53" s="310"/>
      <c r="W53" s="310"/>
      <c r="X53" s="313"/>
      <c r="Y53" s="234"/>
      <c r="Z53" s="234"/>
    </row>
    <row r="54" spans="1:26" x14ac:dyDescent="0.35">
      <c r="A54" s="286"/>
      <c r="B54" s="286"/>
      <c r="C54" s="286"/>
      <c r="D54" s="286"/>
      <c r="E54" s="286"/>
      <c r="F54" s="286"/>
      <c r="G54" s="286"/>
      <c r="H54" s="286"/>
      <c r="I54" s="286"/>
      <c r="J54" s="286"/>
      <c r="K54" s="288"/>
      <c r="L54" s="286"/>
      <c r="M54" s="310"/>
      <c r="N54" s="310"/>
      <c r="O54" s="310"/>
      <c r="P54" s="310"/>
      <c r="Q54" s="310"/>
      <c r="R54" s="310"/>
      <c r="S54" s="310"/>
      <c r="T54" s="310"/>
      <c r="U54" s="310"/>
      <c r="V54" s="310"/>
      <c r="W54" s="310"/>
      <c r="X54" s="313"/>
      <c r="Y54" s="234"/>
      <c r="Z54" s="234"/>
    </row>
    <row r="55" spans="1:26" x14ac:dyDescent="0.35">
      <c r="A55" s="286"/>
      <c r="B55" s="286"/>
      <c r="C55" s="286"/>
      <c r="D55" s="286"/>
      <c r="E55" s="286"/>
      <c r="F55" s="286"/>
      <c r="G55" s="286"/>
      <c r="H55" s="286"/>
      <c r="I55" s="286"/>
      <c r="J55" s="286"/>
      <c r="K55" s="288"/>
      <c r="L55" s="286"/>
      <c r="M55" s="310"/>
      <c r="N55" s="310"/>
      <c r="O55" s="310"/>
      <c r="P55" s="310"/>
      <c r="Q55" s="310"/>
      <c r="R55" s="310"/>
      <c r="S55" s="310"/>
      <c r="T55" s="310"/>
      <c r="U55" s="310"/>
      <c r="V55" s="310"/>
      <c r="W55" s="310"/>
      <c r="X55" s="313"/>
      <c r="Y55" s="234"/>
      <c r="Z55" s="234"/>
    </row>
    <row r="56" spans="1:26" x14ac:dyDescent="0.35">
      <c r="A56" s="286"/>
      <c r="B56" s="286"/>
      <c r="C56" s="286"/>
      <c r="D56" s="286"/>
      <c r="E56" s="286"/>
      <c r="F56" s="286"/>
      <c r="G56" s="286"/>
      <c r="H56" s="286"/>
      <c r="I56" s="286"/>
      <c r="J56" s="286"/>
      <c r="K56" s="288"/>
      <c r="L56" s="286"/>
      <c r="M56" s="310"/>
      <c r="N56" s="310"/>
      <c r="O56" s="310"/>
      <c r="P56" s="310"/>
      <c r="Q56" s="310"/>
      <c r="R56" s="310"/>
      <c r="S56" s="310"/>
      <c r="T56" s="310"/>
      <c r="U56" s="310"/>
      <c r="V56" s="310"/>
      <c r="W56" s="310"/>
      <c r="X56" s="313"/>
      <c r="Y56" s="234"/>
      <c r="Z56" s="234"/>
    </row>
    <row r="57" spans="1:26" x14ac:dyDescent="0.35">
      <c r="A57" s="286"/>
      <c r="B57" s="286"/>
      <c r="C57" s="286"/>
      <c r="D57" s="286"/>
      <c r="E57" s="286"/>
      <c r="F57" s="286"/>
      <c r="G57" s="286"/>
      <c r="H57" s="286"/>
      <c r="I57" s="286"/>
      <c r="J57" s="286"/>
      <c r="K57" s="288"/>
      <c r="L57" s="286"/>
      <c r="M57" s="310"/>
      <c r="N57" s="310"/>
      <c r="O57" s="310"/>
      <c r="P57" s="310"/>
      <c r="Q57" s="310"/>
      <c r="R57" s="310"/>
      <c r="S57" s="310"/>
      <c r="T57" s="310"/>
      <c r="U57" s="310"/>
      <c r="V57" s="310"/>
      <c r="W57" s="310"/>
      <c r="X57" s="313"/>
      <c r="Y57" s="234"/>
      <c r="Z57" s="234"/>
    </row>
    <row r="58" spans="1:26" x14ac:dyDescent="0.35">
      <c r="A58" s="286"/>
      <c r="B58" s="286"/>
      <c r="C58" s="286"/>
      <c r="D58" s="286"/>
      <c r="E58" s="286"/>
      <c r="F58" s="286"/>
      <c r="G58" s="286"/>
      <c r="H58" s="286"/>
      <c r="I58" s="286"/>
      <c r="J58" s="286"/>
      <c r="K58" s="288"/>
      <c r="L58" s="286"/>
      <c r="M58" s="310"/>
      <c r="N58" s="310"/>
      <c r="O58" s="310"/>
      <c r="P58" s="310"/>
      <c r="Q58" s="310"/>
      <c r="R58" s="310"/>
      <c r="S58" s="310"/>
      <c r="T58" s="310"/>
      <c r="U58" s="310"/>
      <c r="V58" s="310"/>
      <c r="W58" s="310"/>
      <c r="X58" s="313"/>
      <c r="Y58" s="234"/>
      <c r="Z58" s="234"/>
    </row>
    <row r="59" spans="1:26" x14ac:dyDescent="0.35">
      <c r="A59" s="286"/>
      <c r="B59" s="286"/>
      <c r="C59" s="286"/>
      <c r="D59" s="286"/>
      <c r="E59" s="286"/>
      <c r="F59" s="286"/>
      <c r="G59" s="286"/>
      <c r="H59" s="286"/>
      <c r="I59" s="286"/>
      <c r="J59" s="286"/>
      <c r="K59" s="288"/>
      <c r="L59" s="286"/>
      <c r="M59" s="310"/>
      <c r="N59" s="310"/>
      <c r="O59" s="310"/>
      <c r="P59" s="310"/>
      <c r="Q59" s="310"/>
      <c r="R59" s="310"/>
      <c r="S59" s="310"/>
      <c r="T59" s="310"/>
      <c r="U59" s="310"/>
      <c r="V59" s="310"/>
      <c r="W59" s="310"/>
      <c r="X59" s="313"/>
      <c r="Y59" s="234"/>
      <c r="Z59" s="234"/>
    </row>
    <row r="60" spans="1:26" x14ac:dyDescent="0.35">
      <c r="A60" s="286"/>
      <c r="B60" s="286"/>
      <c r="C60" s="286"/>
      <c r="D60" s="286"/>
      <c r="E60" s="286"/>
      <c r="F60" s="286"/>
      <c r="G60" s="286"/>
      <c r="H60" s="286"/>
      <c r="I60" s="286"/>
      <c r="J60" s="286"/>
      <c r="K60" s="288"/>
      <c r="L60" s="286"/>
      <c r="M60" s="310"/>
      <c r="N60" s="310"/>
      <c r="O60" s="310"/>
      <c r="P60" s="310"/>
      <c r="Q60" s="310"/>
      <c r="R60" s="310"/>
      <c r="S60" s="310"/>
      <c r="T60" s="310"/>
      <c r="U60" s="310"/>
      <c r="V60" s="310"/>
      <c r="W60" s="310"/>
      <c r="X60" s="313"/>
      <c r="Y60" s="234"/>
      <c r="Z60" s="234"/>
    </row>
    <row r="61" spans="1:26" x14ac:dyDescent="0.35">
      <c r="A61" s="286"/>
      <c r="B61" s="286"/>
      <c r="C61" s="286"/>
      <c r="D61" s="286"/>
      <c r="E61" s="286"/>
      <c r="F61" s="286"/>
      <c r="G61" s="286"/>
      <c r="H61" s="286"/>
      <c r="I61" s="286"/>
      <c r="J61" s="286"/>
      <c r="K61" s="288"/>
      <c r="L61" s="286"/>
      <c r="M61" s="310"/>
      <c r="N61" s="310"/>
      <c r="O61" s="310"/>
      <c r="P61" s="310"/>
      <c r="Q61" s="310"/>
      <c r="R61" s="310"/>
      <c r="S61" s="310"/>
      <c r="T61" s="310"/>
      <c r="U61" s="310"/>
      <c r="V61" s="310"/>
      <c r="W61" s="310"/>
      <c r="X61" s="313"/>
      <c r="Y61" s="234"/>
      <c r="Z61" s="234"/>
    </row>
    <row r="62" spans="1:26" x14ac:dyDescent="0.35">
      <c r="A62" s="286"/>
      <c r="B62" s="286"/>
      <c r="C62" s="286"/>
      <c r="D62" s="286"/>
      <c r="E62" s="286"/>
      <c r="F62" s="286"/>
      <c r="G62" s="286"/>
      <c r="H62" s="286"/>
      <c r="I62" s="286"/>
      <c r="J62" s="286"/>
      <c r="K62" s="288"/>
      <c r="L62" s="286"/>
      <c r="M62" s="310"/>
      <c r="N62" s="310"/>
      <c r="O62" s="310"/>
      <c r="P62" s="310"/>
      <c r="Q62" s="310"/>
      <c r="R62" s="310"/>
      <c r="S62" s="310"/>
      <c r="T62" s="310"/>
      <c r="U62" s="310"/>
      <c r="V62" s="310"/>
      <c r="W62" s="310"/>
      <c r="X62" s="313"/>
      <c r="Y62" s="234"/>
      <c r="Z62" s="234"/>
    </row>
    <row r="63" spans="1:26" x14ac:dyDescent="0.35">
      <c r="A63" s="286"/>
      <c r="B63" s="286"/>
      <c r="C63" s="286"/>
      <c r="D63" s="286"/>
      <c r="E63" s="286"/>
      <c r="F63" s="286"/>
      <c r="G63" s="286"/>
      <c r="H63" s="286"/>
      <c r="I63" s="286"/>
      <c r="J63" s="286"/>
      <c r="K63" s="288"/>
      <c r="L63" s="286"/>
      <c r="M63" s="310"/>
      <c r="N63" s="310"/>
      <c r="O63" s="310"/>
      <c r="P63" s="310"/>
      <c r="Q63" s="310"/>
      <c r="R63" s="310"/>
      <c r="S63" s="310"/>
      <c r="T63" s="310"/>
      <c r="U63" s="310"/>
      <c r="V63" s="310"/>
      <c r="W63" s="310"/>
      <c r="X63" s="313"/>
      <c r="Y63" s="234"/>
      <c r="Z63" s="234"/>
    </row>
    <row r="64" spans="1:26" x14ac:dyDescent="0.35">
      <c r="A64" s="286"/>
      <c r="B64" s="286"/>
      <c r="C64" s="286"/>
      <c r="D64" s="286"/>
      <c r="E64" s="286"/>
      <c r="F64" s="286"/>
      <c r="G64" s="286"/>
      <c r="H64" s="286"/>
      <c r="I64" s="286"/>
      <c r="J64" s="286"/>
      <c r="K64" s="288"/>
      <c r="L64" s="286"/>
      <c r="M64" s="310"/>
      <c r="N64" s="310"/>
      <c r="O64" s="310"/>
      <c r="P64" s="310"/>
      <c r="Q64" s="310"/>
      <c r="R64" s="310"/>
      <c r="S64" s="310"/>
      <c r="T64" s="310"/>
      <c r="U64" s="310"/>
      <c r="V64" s="310"/>
      <c r="W64" s="310"/>
      <c r="X64" s="313"/>
      <c r="Y64" s="234"/>
      <c r="Z64" s="234"/>
    </row>
    <row r="65" spans="1:26" x14ac:dyDescent="0.35">
      <c r="A65" s="286"/>
      <c r="B65" s="286"/>
      <c r="C65" s="286"/>
      <c r="D65" s="286"/>
      <c r="E65" s="286"/>
      <c r="F65" s="286"/>
      <c r="G65" s="286"/>
      <c r="H65" s="286"/>
      <c r="I65" s="286"/>
      <c r="J65" s="286"/>
      <c r="K65" s="288"/>
      <c r="L65" s="286"/>
      <c r="M65" s="310"/>
      <c r="N65" s="310"/>
      <c r="O65" s="310"/>
      <c r="P65" s="310"/>
      <c r="Q65" s="310"/>
      <c r="R65" s="310"/>
      <c r="S65" s="310"/>
      <c r="T65" s="310"/>
      <c r="U65" s="310"/>
      <c r="V65" s="310"/>
      <c r="W65" s="310"/>
      <c r="X65" s="310"/>
      <c r="Y65" s="234"/>
      <c r="Z65" s="234"/>
    </row>
    <row r="66" spans="1:26" x14ac:dyDescent="0.35">
      <c r="A66" s="286"/>
      <c r="B66" s="286"/>
      <c r="C66" s="286"/>
      <c r="D66" s="286"/>
      <c r="E66" s="286"/>
      <c r="F66" s="286"/>
      <c r="G66" s="286"/>
      <c r="H66" s="286"/>
      <c r="I66" s="286"/>
      <c r="J66" s="286"/>
      <c r="K66" s="288"/>
      <c r="L66" s="286"/>
      <c r="M66" s="310"/>
      <c r="N66" s="310"/>
      <c r="O66" s="310"/>
      <c r="P66" s="310"/>
      <c r="Q66" s="310"/>
      <c r="R66" s="310"/>
      <c r="S66" s="310"/>
      <c r="T66" s="310"/>
      <c r="U66" s="310"/>
      <c r="V66" s="310"/>
      <c r="W66" s="310"/>
      <c r="X66" s="310"/>
      <c r="Y66" s="234"/>
      <c r="Z66" s="234"/>
    </row>
    <row r="67" spans="1:26" x14ac:dyDescent="0.35">
      <c r="A67" s="286"/>
      <c r="B67" s="286"/>
      <c r="C67" s="286"/>
      <c r="D67" s="286"/>
      <c r="E67" s="286"/>
      <c r="F67" s="286"/>
      <c r="G67" s="286"/>
      <c r="H67" s="286"/>
      <c r="I67" s="286"/>
      <c r="J67" s="286"/>
      <c r="K67" s="288"/>
      <c r="L67" s="286"/>
      <c r="M67" s="310"/>
      <c r="N67" s="310"/>
      <c r="O67" s="310"/>
      <c r="P67" s="310"/>
      <c r="Q67" s="310"/>
      <c r="R67" s="310"/>
      <c r="S67" s="310"/>
      <c r="T67" s="310"/>
      <c r="U67" s="310"/>
      <c r="V67" s="310"/>
      <c r="W67" s="310"/>
      <c r="X67" s="310"/>
      <c r="Y67" s="234"/>
      <c r="Z67" s="234"/>
    </row>
    <row r="68" spans="1:26" x14ac:dyDescent="0.35">
      <c r="A68" s="286"/>
      <c r="B68" s="286"/>
      <c r="C68" s="286"/>
      <c r="D68" s="286"/>
      <c r="E68" s="286"/>
      <c r="F68" s="286"/>
      <c r="G68" s="286"/>
      <c r="H68" s="286"/>
      <c r="I68" s="286"/>
      <c r="J68" s="286"/>
      <c r="K68" s="288"/>
      <c r="L68" s="286"/>
      <c r="M68" s="310"/>
      <c r="N68" s="310"/>
      <c r="O68" s="310"/>
      <c r="P68" s="310"/>
      <c r="Q68" s="310"/>
      <c r="R68" s="310"/>
      <c r="S68" s="310"/>
      <c r="T68" s="310"/>
      <c r="U68" s="310"/>
      <c r="V68" s="310"/>
      <c r="W68" s="310"/>
      <c r="X68" s="310"/>
      <c r="Y68" s="234"/>
      <c r="Z68" s="234"/>
    </row>
    <row r="69" spans="1:26" x14ac:dyDescent="0.35">
      <c r="A69" s="286"/>
      <c r="B69" s="286"/>
      <c r="C69" s="286"/>
      <c r="D69" s="286"/>
      <c r="E69" s="286"/>
      <c r="F69" s="286"/>
      <c r="G69" s="286"/>
      <c r="H69" s="286"/>
      <c r="I69" s="286"/>
      <c r="J69" s="286"/>
      <c r="K69" s="288"/>
      <c r="L69" s="286"/>
      <c r="M69" s="310"/>
      <c r="N69" s="310"/>
      <c r="O69" s="310"/>
      <c r="P69" s="310"/>
      <c r="Q69" s="310"/>
      <c r="R69" s="310"/>
      <c r="S69" s="310"/>
      <c r="T69" s="310"/>
      <c r="U69" s="310"/>
      <c r="V69" s="310"/>
      <c r="W69" s="310"/>
      <c r="X69" s="310"/>
      <c r="Y69" s="234"/>
      <c r="Z69" s="234"/>
    </row>
    <row r="70" spans="1:26" x14ac:dyDescent="0.35">
      <c r="K70" s="15"/>
      <c r="X70" s="159"/>
    </row>
    <row r="71" spans="1:26" x14ac:dyDescent="0.35">
      <c r="K71" s="15"/>
      <c r="X71" s="159"/>
    </row>
    <row r="72" spans="1:26" x14ac:dyDescent="0.35">
      <c r="K72" s="15"/>
      <c r="X72" s="159"/>
    </row>
    <row r="73" spans="1:26" x14ac:dyDescent="0.35">
      <c r="K73" s="15"/>
      <c r="X73" s="159"/>
    </row>
    <row r="74" spans="1:26" x14ac:dyDescent="0.35">
      <c r="K74" s="15"/>
      <c r="X74" s="159"/>
    </row>
    <row r="75" spans="1:26" x14ac:dyDescent="0.35">
      <c r="K75" s="15"/>
      <c r="X75" s="159"/>
    </row>
    <row r="76" spans="1:26" x14ac:dyDescent="0.35">
      <c r="K76" s="15"/>
      <c r="X76" s="159"/>
    </row>
    <row r="77" spans="1:26" x14ac:dyDescent="0.35">
      <c r="K77" s="15"/>
      <c r="X77" s="159"/>
    </row>
    <row r="78" spans="1:26" x14ac:dyDescent="0.35">
      <c r="K78" s="15"/>
      <c r="X78" s="159"/>
    </row>
    <row r="79" spans="1:26" x14ac:dyDescent="0.35">
      <c r="K79" s="15"/>
      <c r="X79" s="159"/>
    </row>
    <row r="80" spans="1:26" x14ac:dyDescent="0.35">
      <c r="K80" s="15"/>
      <c r="X80" s="159"/>
    </row>
    <row r="81" spans="11:24" x14ac:dyDescent="0.35">
      <c r="K81" s="15"/>
      <c r="X81" s="159"/>
    </row>
    <row r="82" spans="11:24" x14ac:dyDescent="0.35">
      <c r="K82" s="15"/>
      <c r="X82" s="159"/>
    </row>
    <row r="83" spans="11:24" x14ac:dyDescent="0.35">
      <c r="K83" s="15"/>
      <c r="X83" s="159"/>
    </row>
    <row r="84" spans="11:24" x14ac:dyDescent="0.35">
      <c r="K84" s="15"/>
      <c r="X84" s="159"/>
    </row>
    <row r="85" spans="11:24" x14ac:dyDescent="0.35">
      <c r="K85" s="15"/>
      <c r="X85" s="159"/>
    </row>
    <row r="86" spans="11:24" x14ac:dyDescent="0.35">
      <c r="K86" s="15"/>
      <c r="X86" s="159"/>
    </row>
    <row r="87" spans="11:24" x14ac:dyDescent="0.35">
      <c r="K87" s="15"/>
      <c r="X87" s="159"/>
    </row>
    <row r="88" spans="11:24" x14ac:dyDescent="0.35">
      <c r="K88" s="15"/>
      <c r="X88" s="159"/>
    </row>
    <row r="89" spans="11:24" x14ac:dyDescent="0.35">
      <c r="K89" s="15"/>
      <c r="X89" s="159"/>
    </row>
    <row r="90" spans="11:24" x14ac:dyDescent="0.35">
      <c r="K90" s="15"/>
      <c r="X90" s="159"/>
    </row>
    <row r="91" spans="11:24" x14ac:dyDescent="0.35">
      <c r="K91" s="15"/>
      <c r="X91" s="159"/>
    </row>
    <row r="92" spans="11:24" x14ac:dyDescent="0.35">
      <c r="K92" s="15"/>
      <c r="X92" s="159"/>
    </row>
    <row r="93" spans="11:24" x14ac:dyDescent="0.35">
      <c r="K93" s="15"/>
      <c r="X93" s="159"/>
    </row>
    <row r="94" spans="11:24" x14ac:dyDescent="0.35">
      <c r="K94" s="15"/>
      <c r="X94" s="159"/>
    </row>
    <row r="95" spans="11:24" x14ac:dyDescent="0.35">
      <c r="K95" s="15"/>
      <c r="X95" s="159"/>
    </row>
    <row r="96" spans="11:24" x14ac:dyDescent="0.35">
      <c r="K96" s="15"/>
      <c r="X96" s="159"/>
    </row>
    <row r="97" spans="11:24" x14ac:dyDescent="0.35">
      <c r="K97" s="15"/>
      <c r="X97" s="159"/>
    </row>
    <row r="98" spans="11:24" x14ac:dyDescent="0.35">
      <c r="K98" s="15"/>
      <c r="X98" s="159"/>
    </row>
    <row r="99" spans="11:24" x14ac:dyDescent="0.35">
      <c r="K99" s="15"/>
      <c r="X99" s="159"/>
    </row>
    <row r="100" spans="11:24" x14ac:dyDescent="0.35">
      <c r="K100" s="15"/>
      <c r="X100" s="159"/>
    </row>
    <row r="101" spans="11:24" x14ac:dyDescent="0.35">
      <c r="K101" s="15"/>
      <c r="X101" s="159"/>
    </row>
    <row r="102" spans="11:24" x14ac:dyDescent="0.35">
      <c r="K102" s="15"/>
      <c r="X102" s="159"/>
    </row>
    <row r="103" spans="11:24" x14ac:dyDescent="0.35">
      <c r="K103" s="15"/>
      <c r="X103" s="159"/>
    </row>
    <row r="104" spans="11:24" x14ac:dyDescent="0.35">
      <c r="K104" s="15"/>
      <c r="X104" s="159"/>
    </row>
    <row r="105" spans="11:24" x14ac:dyDescent="0.35">
      <c r="K105" s="15"/>
      <c r="X105" s="159"/>
    </row>
    <row r="106" spans="11:24" x14ac:dyDescent="0.35">
      <c r="K106" s="15"/>
      <c r="X106" s="159"/>
    </row>
    <row r="107" spans="11:24" x14ac:dyDescent="0.35">
      <c r="K107" s="15"/>
      <c r="X107" s="159"/>
    </row>
    <row r="108" spans="11:24" x14ac:dyDescent="0.35">
      <c r="K108" s="15"/>
      <c r="X108" s="159"/>
    </row>
    <row r="109" spans="11:24" x14ac:dyDescent="0.35">
      <c r="K109" s="15"/>
      <c r="X109" s="159"/>
    </row>
    <row r="110" spans="11:24" x14ac:dyDescent="0.35">
      <c r="K110" s="15"/>
      <c r="X110" s="159"/>
    </row>
    <row r="111" spans="11:24" x14ac:dyDescent="0.35">
      <c r="K111" s="15"/>
      <c r="X111" s="159"/>
    </row>
    <row r="112" spans="11:24" x14ac:dyDescent="0.35">
      <c r="K112" s="15"/>
      <c r="X112" s="159"/>
    </row>
    <row r="113" spans="11:24" x14ac:dyDescent="0.35">
      <c r="K113" s="15"/>
      <c r="X113" s="159"/>
    </row>
    <row r="114" spans="11:24" x14ac:dyDescent="0.35">
      <c r="K114" s="15"/>
      <c r="X114" s="159"/>
    </row>
    <row r="115" spans="11:24" x14ac:dyDescent="0.35">
      <c r="K115" s="15"/>
      <c r="X115" s="159"/>
    </row>
    <row r="116" spans="11:24" x14ac:dyDescent="0.35">
      <c r="K116" s="15"/>
      <c r="X116" s="159"/>
    </row>
    <row r="117" spans="11:24" x14ac:dyDescent="0.35">
      <c r="K117" s="15"/>
      <c r="X117" s="159"/>
    </row>
    <row r="118" spans="11:24" x14ac:dyDescent="0.35">
      <c r="K118" s="15"/>
      <c r="X118" s="159"/>
    </row>
    <row r="119" spans="11:24" x14ac:dyDescent="0.35">
      <c r="K119" s="15"/>
      <c r="X119" s="159"/>
    </row>
    <row r="120" spans="11:24" x14ac:dyDescent="0.35">
      <c r="K120" s="15"/>
      <c r="X120" s="159"/>
    </row>
    <row r="121" spans="11:24" x14ac:dyDescent="0.35">
      <c r="K121" s="15"/>
      <c r="X121" s="159"/>
    </row>
    <row r="122" spans="11:24" x14ac:dyDescent="0.35">
      <c r="X122" s="159"/>
    </row>
    <row r="123" spans="11:24" x14ac:dyDescent="0.35">
      <c r="X123" s="159"/>
    </row>
    <row r="124" spans="11:24" x14ac:dyDescent="0.35">
      <c r="X124" s="159"/>
    </row>
    <row r="125" spans="11:24" x14ac:dyDescent="0.35">
      <c r="X125" s="159"/>
    </row>
    <row r="126" spans="11:24" x14ac:dyDescent="0.35">
      <c r="X126" s="159"/>
    </row>
    <row r="127" spans="11:24" x14ac:dyDescent="0.35">
      <c r="X127" s="159"/>
    </row>
    <row r="128" spans="11:24" x14ac:dyDescent="0.35">
      <c r="X128" s="159"/>
    </row>
    <row r="129" spans="24:24" x14ac:dyDescent="0.35">
      <c r="X129" s="159"/>
    </row>
    <row r="130" spans="24:24" x14ac:dyDescent="0.35">
      <c r="X130" s="159"/>
    </row>
    <row r="131" spans="24:24" x14ac:dyDescent="0.35">
      <c r="X131" s="159"/>
    </row>
    <row r="132" spans="24:24" x14ac:dyDescent="0.35">
      <c r="X132" s="159"/>
    </row>
    <row r="133" spans="24:24" x14ac:dyDescent="0.35">
      <c r="X133" s="159"/>
    </row>
    <row r="134" spans="24:24" x14ac:dyDescent="0.35">
      <c r="X134" s="159"/>
    </row>
    <row r="135" spans="24:24" x14ac:dyDescent="0.35">
      <c r="X135" s="159"/>
    </row>
    <row r="136" spans="24:24" x14ac:dyDescent="0.35">
      <c r="X136" s="159"/>
    </row>
    <row r="137" spans="24:24" x14ac:dyDescent="0.35">
      <c r="X137" s="159"/>
    </row>
    <row r="138" spans="24:24" x14ac:dyDescent="0.35">
      <c r="X138" s="159"/>
    </row>
    <row r="139" spans="24:24" x14ac:dyDescent="0.35">
      <c r="X139" s="159"/>
    </row>
    <row r="140" spans="24:24" x14ac:dyDescent="0.35">
      <c r="X140" s="159"/>
    </row>
    <row r="141" spans="24:24" x14ac:dyDescent="0.35">
      <c r="X141" s="159"/>
    </row>
    <row r="142" spans="24:24" x14ac:dyDescent="0.35">
      <c r="X142" s="159"/>
    </row>
    <row r="143" spans="24:24" x14ac:dyDescent="0.35">
      <c r="X143" s="159"/>
    </row>
    <row r="144" spans="24:24" x14ac:dyDescent="0.35">
      <c r="X144" s="159"/>
    </row>
    <row r="145" spans="24:24" x14ac:dyDescent="0.35">
      <c r="X145" s="159"/>
    </row>
    <row r="146" spans="24:24" x14ac:dyDescent="0.35">
      <c r="X146" s="159"/>
    </row>
    <row r="147" spans="24:24" x14ac:dyDescent="0.35">
      <c r="X147" s="159"/>
    </row>
    <row r="148" spans="24:24" x14ac:dyDescent="0.35">
      <c r="X148" s="159"/>
    </row>
    <row r="149" spans="24:24" x14ac:dyDescent="0.35">
      <c r="X149" s="159"/>
    </row>
    <row r="150" spans="24:24" x14ac:dyDescent="0.35">
      <c r="X150" s="159"/>
    </row>
    <row r="151" spans="24:24" x14ac:dyDescent="0.35">
      <c r="X151" s="159"/>
    </row>
    <row r="152" spans="24:24" x14ac:dyDescent="0.35">
      <c r="X152" s="159"/>
    </row>
    <row r="153" spans="24:24" x14ac:dyDescent="0.35">
      <c r="X153" s="159"/>
    </row>
    <row r="154" spans="24:24" x14ac:dyDescent="0.35">
      <c r="X154" s="159"/>
    </row>
    <row r="155" spans="24:24" x14ac:dyDescent="0.35">
      <c r="X155" s="159"/>
    </row>
    <row r="156" spans="24:24" x14ac:dyDescent="0.35">
      <c r="X156" s="159"/>
    </row>
    <row r="157" spans="24:24" x14ac:dyDescent="0.35">
      <c r="X157" s="159"/>
    </row>
    <row r="158" spans="24:24" x14ac:dyDescent="0.35">
      <c r="X158" s="159"/>
    </row>
    <row r="159" spans="24:24" x14ac:dyDescent="0.35">
      <c r="X159" s="159"/>
    </row>
    <row r="160" spans="24:24" x14ac:dyDescent="0.35">
      <c r="X160" s="159"/>
    </row>
    <row r="161" spans="24:24" x14ac:dyDescent="0.35">
      <c r="X161" s="159"/>
    </row>
    <row r="162" spans="24:24" x14ac:dyDescent="0.35">
      <c r="X162" s="159"/>
    </row>
    <row r="163" spans="24:24" x14ac:dyDescent="0.35">
      <c r="X163" s="159"/>
    </row>
    <row r="164" spans="24:24" x14ac:dyDescent="0.35">
      <c r="X164" s="159"/>
    </row>
    <row r="165" spans="24:24" x14ac:dyDescent="0.35">
      <c r="X165" s="159"/>
    </row>
    <row r="166" spans="24:24" x14ac:dyDescent="0.35">
      <c r="X166" s="159"/>
    </row>
    <row r="167" spans="24:24" x14ac:dyDescent="0.35">
      <c r="X167" s="159"/>
    </row>
    <row r="168" spans="24:24" x14ac:dyDescent="0.35">
      <c r="X168" s="159"/>
    </row>
    <row r="169" spans="24:24" x14ac:dyDescent="0.35">
      <c r="X169" s="159"/>
    </row>
    <row r="170" spans="24:24" x14ac:dyDescent="0.35">
      <c r="X170" s="159"/>
    </row>
    <row r="171" spans="24:24" x14ac:dyDescent="0.35">
      <c r="X171" s="159"/>
    </row>
    <row r="172" spans="24:24" x14ac:dyDescent="0.35">
      <c r="X172" s="159"/>
    </row>
    <row r="173" spans="24:24" x14ac:dyDescent="0.35">
      <c r="X173" s="159"/>
    </row>
    <row r="174" spans="24:24" x14ac:dyDescent="0.35">
      <c r="X174" s="159"/>
    </row>
    <row r="175" spans="24:24" x14ac:dyDescent="0.35">
      <c r="X175" s="159"/>
    </row>
    <row r="176" spans="24:24" x14ac:dyDescent="0.35">
      <c r="X176" s="159"/>
    </row>
    <row r="177" spans="24:24" x14ac:dyDescent="0.35">
      <c r="X177" s="159"/>
    </row>
    <row r="178" spans="24:24" x14ac:dyDescent="0.35">
      <c r="X178" s="159"/>
    </row>
    <row r="179" spans="24:24" x14ac:dyDescent="0.35">
      <c r="X179" s="159"/>
    </row>
    <row r="180" spans="24:24" x14ac:dyDescent="0.35">
      <c r="X180" s="159"/>
    </row>
    <row r="181" spans="24:24" x14ac:dyDescent="0.35">
      <c r="X181" s="159"/>
    </row>
    <row r="182" spans="24:24" x14ac:dyDescent="0.35">
      <c r="X182" s="159"/>
    </row>
    <row r="183" spans="24:24" x14ac:dyDescent="0.35">
      <c r="X183" s="159"/>
    </row>
    <row r="184" spans="24:24" x14ac:dyDescent="0.35">
      <c r="X184" s="159"/>
    </row>
    <row r="185" spans="24:24" x14ac:dyDescent="0.35">
      <c r="X185" s="159"/>
    </row>
    <row r="186" spans="24:24" x14ac:dyDescent="0.35">
      <c r="X186" s="159"/>
    </row>
    <row r="187" spans="24:24" x14ac:dyDescent="0.35">
      <c r="X187" s="159"/>
    </row>
    <row r="188" spans="24:24" x14ac:dyDescent="0.35">
      <c r="X188" s="159"/>
    </row>
    <row r="189" spans="24:24" x14ac:dyDescent="0.35">
      <c r="X189" s="159"/>
    </row>
    <row r="190" spans="24:24" x14ac:dyDescent="0.35">
      <c r="X190" s="159"/>
    </row>
    <row r="191" spans="24:24" x14ac:dyDescent="0.35">
      <c r="X191" s="159"/>
    </row>
    <row r="192" spans="24:24" x14ac:dyDescent="0.35">
      <c r="X192" s="159"/>
    </row>
    <row r="193" spans="24:24" x14ac:dyDescent="0.35">
      <c r="X193" s="159"/>
    </row>
    <row r="194" spans="24:24" x14ac:dyDescent="0.35">
      <c r="X194" s="159"/>
    </row>
    <row r="195" spans="24:24" x14ac:dyDescent="0.35">
      <c r="X195" s="159"/>
    </row>
    <row r="196" spans="24:24" x14ac:dyDescent="0.35">
      <c r="X196" s="159"/>
    </row>
    <row r="197" spans="24:24" x14ac:dyDescent="0.35">
      <c r="X197" s="159"/>
    </row>
    <row r="198" spans="24:24" x14ac:dyDescent="0.35">
      <c r="X198" s="159"/>
    </row>
    <row r="199" spans="24:24" x14ac:dyDescent="0.35">
      <c r="X199" s="159"/>
    </row>
    <row r="200" spans="24:24" x14ac:dyDescent="0.35">
      <c r="X200" s="159"/>
    </row>
    <row r="201" spans="24:24" x14ac:dyDescent="0.35">
      <c r="X201" s="159"/>
    </row>
    <row r="202" spans="24:24" x14ac:dyDescent="0.35">
      <c r="X202" s="159"/>
    </row>
    <row r="203" spans="24:24" x14ac:dyDescent="0.35">
      <c r="X203" s="159"/>
    </row>
    <row r="204" spans="24:24" x14ac:dyDescent="0.35">
      <c r="X204" s="159"/>
    </row>
    <row r="205" spans="24:24" x14ac:dyDescent="0.35">
      <c r="X205" s="159"/>
    </row>
    <row r="206" spans="24:24" x14ac:dyDescent="0.35">
      <c r="X206" s="159"/>
    </row>
    <row r="207" spans="24:24" x14ac:dyDescent="0.35">
      <c r="X207" s="159"/>
    </row>
    <row r="208" spans="24:24" x14ac:dyDescent="0.35">
      <c r="X208" s="159"/>
    </row>
    <row r="209" spans="24:24" x14ac:dyDescent="0.35">
      <c r="X209" s="159"/>
    </row>
    <row r="210" spans="24:24" x14ac:dyDescent="0.35">
      <c r="X210" s="159"/>
    </row>
    <row r="211" spans="24:24" x14ac:dyDescent="0.35">
      <c r="X211" s="159"/>
    </row>
    <row r="212" spans="24:24" x14ac:dyDescent="0.35">
      <c r="X212" s="159"/>
    </row>
    <row r="213" spans="24:24" x14ac:dyDescent="0.35">
      <c r="X213" s="159"/>
    </row>
    <row r="214" spans="24:24" x14ac:dyDescent="0.35">
      <c r="X214" s="159"/>
    </row>
    <row r="215" spans="24:24" x14ac:dyDescent="0.35">
      <c r="X215" s="159"/>
    </row>
    <row r="216" spans="24:24" x14ac:dyDescent="0.35">
      <c r="X216" s="159"/>
    </row>
    <row r="217" spans="24:24" x14ac:dyDescent="0.35">
      <c r="X217" s="159"/>
    </row>
    <row r="218" spans="24:24" x14ac:dyDescent="0.35">
      <c r="X218" s="159"/>
    </row>
    <row r="219" spans="24:24" x14ac:dyDescent="0.35">
      <c r="X219" s="159"/>
    </row>
    <row r="220" spans="24:24" x14ac:dyDescent="0.35">
      <c r="X220" s="159"/>
    </row>
    <row r="221" spans="24:24" x14ac:dyDescent="0.35">
      <c r="X221" s="159"/>
    </row>
    <row r="222" spans="24:24" x14ac:dyDescent="0.35">
      <c r="X222" s="159"/>
    </row>
    <row r="223" spans="24:24" x14ac:dyDescent="0.35">
      <c r="X223" s="159"/>
    </row>
    <row r="224" spans="24:24" x14ac:dyDescent="0.35">
      <c r="X224" s="159"/>
    </row>
    <row r="225" spans="24:24" x14ac:dyDescent="0.35">
      <c r="X225" s="159"/>
    </row>
    <row r="226" spans="24:24" x14ac:dyDescent="0.35">
      <c r="X226" s="159"/>
    </row>
    <row r="227" spans="24:24" x14ac:dyDescent="0.35">
      <c r="X227" s="159"/>
    </row>
    <row r="228" spans="24:24" x14ac:dyDescent="0.35">
      <c r="X228" s="159"/>
    </row>
    <row r="229" spans="24:24" x14ac:dyDescent="0.35">
      <c r="X229" s="159"/>
    </row>
    <row r="230" spans="24:24" x14ac:dyDescent="0.35">
      <c r="X230" s="159"/>
    </row>
    <row r="231" spans="24:24" x14ac:dyDescent="0.35">
      <c r="X231" s="159"/>
    </row>
    <row r="232" spans="24:24" x14ac:dyDescent="0.35">
      <c r="X232" s="159"/>
    </row>
    <row r="233" spans="24:24" x14ac:dyDescent="0.35">
      <c r="X233" s="159"/>
    </row>
    <row r="234" spans="24:24" x14ac:dyDescent="0.35">
      <c r="X234" s="159"/>
    </row>
    <row r="235" spans="24:24" x14ac:dyDescent="0.35">
      <c r="X235" s="159"/>
    </row>
    <row r="236" spans="24:24" x14ac:dyDescent="0.35">
      <c r="X236" s="159"/>
    </row>
    <row r="237" spans="24:24" x14ac:dyDescent="0.35">
      <c r="X237" s="159"/>
    </row>
    <row r="238" spans="24:24" x14ac:dyDescent="0.35">
      <c r="X238" s="159"/>
    </row>
    <row r="239" spans="24:24" x14ac:dyDescent="0.35">
      <c r="X239" s="159"/>
    </row>
    <row r="240" spans="24:24" x14ac:dyDescent="0.35">
      <c r="X240" s="159"/>
    </row>
    <row r="241" spans="24:24" x14ac:dyDescent="0.35">
      <c r="X241" s="159"/>
    </row>
    <row r="242" spans="24:24" x14ac:dyDescent="0.35">
      <c r="X242" s="159"/>
    </row>
    <row r="243" spans="24:24" x14ac:dyDescent="0.35">
      <c r="X243" s="159"/>
    </row>
    <row r="244" spans="24:24" x14ac:dyDescent="0.35">
      <c r="X244" s="159"/>
    </row>
    <row r="245" spans="24:24" x14ac:dyDescent="0.35">
      <c r="X245" s="159"/>
    </row>
    <row r="246" spans="24:24" x14ac:dyDescent="0.35">
      <c r="X246" s="159"/>
    </row>
    <row r="247" spans="24:24" x14ac:dyDescent="0.35">
      <c r="X247" s="159"/>
    </row>
    <row r="248" spans="24:24" x14ac:dyDescent="0.35">
      <c r="X248" s="159"/>
    </row>
    <row r="249" spans="24:24" x14ac:dyDescent="0.35">
      <c r="X249" s="159"/>
    </row>
    <row r="250" spans="24:24" x14ac:dyDescent="0.35">
      <c r="X250" s="159"/>
    </row>
    <row r="251" spans="24:24" x14ac:dyDescent="0.35">
      <c r="X251" s="159"/>
    </row>
    <row r="252" spans="24:24" x14ac:dyDescent="0.35">
      <c r="X252" s="159"/>
    </row>
    <row r="253" spans="24:24" x14ac:dyDescent="0.35">
      <c r="X253" s="159"/>
    </row>
    <row r="254" spans="24:24" x14ac:dyDescent="0.35">
      <c r="X254" s="159"/>
    </row>
    <row r="255" spans="24:24" x14ac:dyDescent="0.35">
      <c r="X255" s="159"/>
    </row>
    <row r="256" spans="24:24" x14ac:dyDescent="0.35">
      <c r="X256" s="159"/>
    </row>
    <row r="257" spans="24:24" x14ac:dyDescent="0.35">
      <c r="X257" s="159"/>
    </row>
    <row r="258" spans="24:24" x14ac:dyDescent="0.35">
      <c r="X258" s="159"/>
    </row>
    <row r="259" spans="24:24" x14ac:dyDescent="0.35">
      <c r="X259" s="159"/>
    </row>
    <row r="260" spans="24:24" x14ac:dyDescent="0.35">
      <c r="X260" s="159"/>
    </row>
    <row r="261" spans="24:24" x14ac:dyDescent="0.35">
      <c r="X261" s="159"/>
    </row>
    <row r="262" spans="24:24" x14ac:dyDescent="0.35">
      <c r="X262" s="159"/>
    </row>
    <row r="263" spans="24:24" x14ac:dyDescent="0.35">
      <c r="X263" s="159"/>
    </row>
    <row r="264" spans="24:24" x14ac:dyDescent="0.35">
      <c r="X264" s="159"/>
    </row>
    <row r="265" spans="24:24" x14ac:dyDescent="0.35">
      <c r="X265" s="159"/>
    </row>
    <row r="266" spans="24:24" x14ac:dyDescent="0.35">
      <c r="X266" s="159"/>
    </row>
    <row r="267" spans="24:24" x14ac:dyDescent="0.35">
      <c r="X267" s="159"/>
    </row>
    <row r="268" spans="24:24" x14ac:dyDescent="0.35">
      <c r="X268" s="159"/>
    </row>
    <row r="269" spans="24:24" x14ac:dyDescent="0.35">
      <c r="X269" s="159"/>
    </row>
    <row r="270" spans="24:24" x14ac:dyDescent="0.35">
      <c r="X270" s="159"/>
    </row>
    <row r="271" spans="24:24" x14ac:dyDescent="0.35">
      <c r="X271" s="159"/>
    </row>
    <row r="272" spans="24:24" x14ac:dyDescent="0.35">
      <c r="X272" s="159"/>
    </row>
    <row r="273" spans="24:24" x14ac:dyDescent="0.35">
      <c r="X273" s="159"/>
    </row>
    <row r="274" spans="24:24" x14ac:dyDescent="0.35">
      <c r="X274" s="159"/>
    </row>
    <row r="275" spans="24:24" x14ac:dyDescent="0.35">
      <c r="X275" s="159"/>
    </row>
    <row r="276" spans="24:24" x14ac:dyDescent="0.35">
      <c r="X276" s="159"/>
    </row>
    <row r="277" spans="24:24" x14ac:dyDescent="0.35">
      <c r="X277" s="159"/>
    </row>
    <row r="278" spans="24:24" x14ac:dyDescent="0.35">
      <c r="X278" s="159"/>
    </row>
    <row r="279" spans="24:24" x14ac:dyDescent="0.35">
      <c r="X279" s="159"/>
    </row>
    <row r="280" spans="24:24" x14ac:dyDescent="0.35">
      <c r="X280" s="159"/>
    </row>
    <row r="281" spans="24:24" x14ac:dyDescent="0.35">
      <c r="X281" s="159"/>
    </row>
    <row r="282" spans="24:24" x14ac:dyDescent="0.35">
      <c r="X282" s="159"/>
    </row>
    <row r="283" spans="24:24" x14ac:dyDescent="0.35">
      <c r="X283" s="159"/>
    </row>
    <row r="284" spans="24:24" x14ac:dyDescent="0.35">
      <c r="X284" s="159"/>
    </row>
    <row r="285" spans="24:24" x14ac:dyDescent="0.35">
      <c r="X285" s="159"/>
    </row>
    <row r="286" spans="24:24" x14ac:dyDescent="0.35">
      <c r="X286" s="159"/>
    </row>
    <row r="287" spans="24:24" x14ac:dyDescent="0.35">
      <c r="X287" s="159"/>
    </row>
    <row r="288" spans="24:24" x14ac:dyDescent="0.35">
      <c r="X288" s="159"/>
    </row>
    <row r="289" spans="24:24" x14ac:dyDescent="0.35">
      <c r="X289" s="159"/>
    </row>
    <row r="290" spans="24:24" x14ac:dyDescent="0.35">
      <c r="X290" s="159"/>
    </row>
    <row r="291" spans="24:24" x14ac:dyDescent="0.35">
      <c r="X291" s="159"/>
    </row>
    <row r="292" spans="24:24" x14ac:dyDescent="0.35">
      <c r="X292" s="159"/>
    </row>
    <row r="293" spans="24:24" x14ac:dyDescent="0.35">
      <c r="X293" s="159"/>
    </row>
    <row r="294" spans="24:24" x14ac:dyDescent="0.35">
      <c r="X294" s="159"/>
    </row>
    <row r="295" spans="24:24" x14ac:dyDescent="0.35">
      <c r="X295" s="159"/>
    </row>
    <row r="296" spans="24:24" x14ac:dyDescent="0.35">
      <c r="X296" s="159"/>
    </row>
    <row r="297" spans="24:24" x14ac:dyDescent="0.35">
      <c r="X297" s="159"/>
    </row>
    <row r="298" spans="24:24" x14ac:dyDescent="0.35">
      <c r="X298" s="159"/>
    </row>
    <row r="299" spans="24:24" x14ac:dyDescent="0.35">
      <c r="X299" s="159"/>
    </row>
    <row r="300" spans="24:24" x14ac:dyDescent="0.35">
      <c r="X300" s="159"/>
    </row>
    <row r="301" spans="24:24" x14ac:dyDescent="0.35">
      <c r="X301" s="159"/>
    </row>
    <row r="302" spans="24:24" x14ac:dyDescent="0.35">
      <c r="X302" s="159"/>
    </row>
    <row r="303" spans="24:24" x14ac:dyDescent="0.35">
      <c r="X303" s="159"/>
    </row>
    <row r="304" spans="24:24" x14ac:dyDescent="0.35">
      <c r="X304" s="159"/>
    </row>
    <row r="305" spans="24:24" x14ac:dyDescent="0.35">
      <c r="X305" s="159"/>
    </row>
    <row r="306" spans="24:24" x14ac:dyDescent="0.35">
      <c r="X306" s="159"/>
    </row>
    <row r="307" spans="24:24" x14ac:dyDescent="0.35">
      <c r="X307" s="159"/>
    </row>
    <row r="308" spans="24:24" x14ac:dyDescent="0.35">
      <c r="X308" s="159"/>
    </row>
    <row r="309" spans="24:24" x14ac:dyDescent="0.35">
      <c r="X309" s="159"/>
    </row>
    <row r="310" spans="24:24" x14ac:dyDescent="0.35">
      <c r="X310" s="159"/>
    </row>
    <row r="311" spans="24:24" x14ac:dyDescent="0.35">
      <c r="X311" s="159"/>
    </row>
    <row r="312" spans="24:24" x14ac:dyDescent="0.35">
      <c r="X312" s="159"/>
    </row>
    <row r="313" spans="24:24" x14ac:dyDescent="0.35">
      <c r="X313" s="159"/>
    </row>
    <row r="314" spans="24:24" x14ac:dyDescent="0.35">
      <c r="X314" s="159"/>
    </row>
    <row r="315" spans="24:24" x14ac:dyDescent="0.35">
      <c r="X315" s="159"/>
    </row>
    <row r="316" spans="24:24" x14ac:dyDescent="0.35">
      <c r="X316" s="159"/>
    </row>
    <row r="317" spans="24:24" x14ac:dyDescent="0.35">
      <c r="X317" s="159"/>
    </row>
    <row r="318" spans="24:24" x14ac:dyDescent="0.35">
      <c r="X318" s="159"/>
    </row>
    <row r="319" spans="24:24" x14ac:dyDescent="0.35">
      <c r="X319" s="159"/>
    </row>
    <row r="320" spans="24:24" x14ac:dyDescent="0.35">
      <c r="X320" s="159"/>
    </row>
    <row r="321" spans="24:24" x14ac:dyDescent="0.35">
      <c r="X321" s="159"/>
    </row>
    <row r="322" spans="24:24" x14ac:dyDescent="0.35">
      <c r="X322" s="159"/>
    </row>
    <row r="323" spans="24:24" x14ac:dyDescent="0.35">
      <c r="X323" s="159"/>
    </row>
    <row r="324" spans="24:24" x14ac:dyDescent="0.35">
      <c r="X324" s="159"/>
    </row>
    <row r="325" spans="24:24" x14ac:dyDescent="0.35">
      <c r="X325" s="159"/>
    </row>
    <row r="326" spans="24:24" x14ac:dyDescent="0.35">
      <c r="X326" s="159"/>
    </row>
    <row r="327" spans="24:24" x14ac:dyDescent="0.35">
      <c r="X327" s="159"/>
    </row>
    <row r="328" spans="24:24" x14ac:dyDescent="0.35">
      <c r="X328" s="159"/>
    </row>
    <row r="329" spans="24:24" x14ac:dyDescent="0.35">
      <c r="X329" s="159"/>
    </row>
    <row r="330" spans="24:24" x14ac:dyDescent="0.35">
      <c r="X330" s="159"/>
    </row>
    <row r="331" spans="24:24" x14ac:dyDescent="0.35">
      <c r="X331" s="159"/>
    </row>
    <row r="332" spans="24:24" x14ac:dyDescent="0.35">
      <c r="X332" s="159"/>
    </row>
    <row r="333" spans="24:24" x14ac:dyDescent="0.35">
      <c r="X333" s="159"/>
    </row>
    <row r="334" spans="24:24" x14ac:dyDescent="0.35">
      <c r="X334" s="159"/>
    </row>
    <row r="335" spans="24:24" x14ac:dyDescent="0.35">
      <c r="X335" s="159"/>
    </row>
    <row r="336" spans="24:24" x14ac:dyDescent="0.35">
      <c r="X336" s="159"/>
    </row>
    <row r="337" spans="24:24" x14ac:dyDescent="0.35">
      <c r="X337" s="159"/>
    </row>
    <row r="338" spans="24:24" x14ac:dyDescent="0.35">
      <c r="X338" s="159"/>
    </row>
    <row r="339" spans="24:24" x14ac:dyDescent="0.35">
      <c r="X339" s="159"/>
    </row>
    <row r="340" spans="24:24" x14ac:dyDescent="0.35">
      <c r="X340" s="159"/>
    </row>
    <row r="341" spans="24:24" x14ac:dyDescent="0.35">
      <c r="X341" s="159"/>
    </row>
    <row r="342" spans="24:24" x14ac:dyDescent="0.35">
      <c r="X342" s="159"/>
    </row>
    <row r="343" spans="24:24" x14ac:dyDescent="0.35">
      <c r="X343" s="159"/>
    </row>
    <row r="344" spans="24:24" x14ac:dyDescent="0.35">
      <c r="X344" s="159"/>
    </row>
    <row r="345" spans="24:24" x14ac:dyDescent="0.35">
      <c r="X345" s="159"/>
    </row>
    <row r="346" spans="24:24" x14ac:dyDescent="0.35">
      <c r="X346" s="159"/>
    </row>
    <row r="347" spans="24:24" x14ac:dyDescent="0.35">
      <c r="X347" s="159"/>
    </row>
    <row r="348" spans="24:24" x14ac:dyDescent="0.35">
      <c r="X348" s="159"/>
    </row>
    <row r="349" spans="24:24" x14ac:dyDescent="0.35">
      <c r="X349" s="159"/>
    </row>
    <row r="350" spans="24:24" x14ac:dyDescent="0.35">
      <c r="X350" s="159"/>
    </row>
    <row r="351" spans="24:24" x14ac:dyDescent="0.35">
      <c r="X351" s="159"/>
    </row>
    <row r="352" spans="24:24" x14ac:dyDescent="0.35">
      <c r="X352" s="159"/>
    </row>
    <row r="353" spans="24:24" x14ac:dyDescent="0.35">
      <c r="X353" s="159"/>
    </row>
    <row r="354" spans="24:24" x14ac:dyDescent="0.35">
      <c r="X354" s="159"/>
    </row>
    <row r="355" spans="24:24" x14ac:dyDescent="0.35">
      <c r="X355" s="159"/>
    </row>
    <row r="356" spans="24:24" x14ac:dyDescent="0.35">
      <c r="X356" s="159"/>
    </row>
    <row r="357" spans="24:24" x14ac:dyDescent="0.35">
      <c r="X357" s="159"/>
    </row>
    <row r="358" spans="24:24" x14ac:dyDescent="0.35">
      <c r="X358" s="159"/>
    </row>
    <row r="359" spans="24:24" x14ac:dyDescent="0.35">
      <c r="X359" s="159"/>
    </row>
    <row r="360" spans="24:24" x14ac:dyDescent="0.35">
      <c r="X360" s="159"/>
    </row>
    <row r="361" spans="24:24" x14ac:dyDescent="0.35">
      <c r="X361" s="159"/>
    </row>
    <row r="362" spans="24:24" x14ac:dyDescent="0.35">
      <c r="X362" s="159"/>
    </row>
    <row r="363" spans="24:24" x14ac:dyDescent="0.35">
      <c r="X363" s="159"/>
    </row>
    <row r="364" spans="24:24" x14ac:dyDescent="0.35">
      <c r="X364" s="159"/>
    </row>
    <row r="365" spans="24:24" x14ac:dyDescent="0.35">
      <c r="X365" s="159"/>
    </row>
    <row r="366" spans="24:24" x14ac:dyDescent="0.35">
      <c r="X366" s="159"/>
    </row>
    <row r="367" spans="24:24" x14ac:dyDescent="0.35">
      <c r="X367" s="159"/>
    </row>
    <row r="368" spans="24:24" x14ac:dyDescent="0.35">
      <c r="X368" s="159"/>
    </row>
    <row r="369" spans="24:24" x14ac:dyDescent="0.35">
      <c r="X369" s="159"/>
    </row>
    <row r="370" spans="24:24" x14ac:dyDescent="0.35">
      <c r="X370" s="159"/>
    </row>
    <row r="371" spans="24:24" x14ac:dyDescent="0.35">
      <c r="X371" s="159"/>
    </row>
    <row r="372" spans="24:24" x14ac:dyDescent="0.35">
      <c r="X372" s="159"/>
    </row>
    <row r="373" spans="24:24" x14ac:dyDescent="0.35">
      <c r="X373" s="159"/>
    </row>
    <row r="374" spans="24:24" x14ac:dyDescent="0.35">
      <c r="X374" s="159"/>
    </row>
    <row r="375" spans="24:24" x14ac:dyDescent="0.35">
      <c r="X375" s="159"/>
    </row>
    <row r="376" spans="24:24" x14ac:dyDescent="0.35">
      <c r="X376" s="159"/>
    </row>
    <row r="377" spans="24:24" x14ac:dyDescent="0.35">
      <c r="X377" s="159"/>
    </row>
    <row r="378" spans="24:24" x14ac:dyDescent="0.35">
      <c r="X378" s="159"/>
    </row>
    <row r="379" spans="24:24" x14ac:dyDescent="0.35">
      <c r="X379" s="159"/>
    </row>
    <row r="380" spans="24:24" x14ac:dyDescent="0.35">
      <c r="X380" s="159"/>
    </row>
    <row r="381" spans="24:24" x14ac:dyDescent="0.35">
      <c r="X381" s="159"/>
    </row>
    <row r="382" spans="24:24" x14ac:dyDescent="0.35">
      <c r="X382" s="159"/>
    </row>
    <row r="383" spans="24:24" x14ac:dyDescent="0.35">
      <c r="X383" s="159"/>
    </row>
    <row r="384" spans="24:24" x14ac:dyDescent="0.35">
      <c r="X384" s="159"/>
    </row>
    <row r="385" spans="24:24" x14ac:dyDescent="0.35">
      <c r="X385" s="159"/>
    </row>
    <row r="386" spans="24:24" x14ac:dyDescent="0.35">
      <c r="X386" s="159"/>
    </row>
    <row r="387" spans="24:24" x14ac:dyDescent="0.35">
      <c r="X387" s="159"/>
    </row>
    <row r="388" spans="24:24" x14ac:dyDescent="0.35">
      <c r="X388" s="159"/>
    </row>
    <row r="389" spans="24:24" x14ac:dyDescent="0.35">
      <c r="X389" s="159"/>
    </row>
    <row r="390" spans="24:24" x14ac:dyDescent="0.35">
      <c r="X390" s="159"/>
    </row>
    <row r="391" spans="24:24" x14ac:dyDescent="0.35">
      <c r="X391" s="159"/>
    </row>
    <row r="392" spans="24:24" x14ac:dyDescent="0.35">
      <c r="X392" s="159"/>
    </row>
    <row r="393" spans="24:24" x14ac:dyDescent="0.35">
      <c r="X393" s="159"/>
    </row>
    <row r="394" spans="24:24" x14ac:dyDescent="0.35">
      <c r="X394" s="159"/>
    </row>
    <row r="395" spans="24:24" x14ac:dyDescent="0.35">
      <c r="X395" s="159"/>
    </row>
    <row r="396" spans="24:24" x14ac:dyDescent="0.35">
      <c r="X396" s="159"/>
    </row>
    <row r="397" spans="24:24" x14ac:dyDescent="0.35">
      <c r="X397" s="159"/>
    </row>
    <row r="398" spans="24:24" x14ac:dyDescent="0.35">
      <c r="X398" s="159"/>
    </row>
    <row r="399" spans="24:24" x14ac:dyDescent="0.35">
      <c r="X399" s="159"/>
    </row>
    <row r="400" spans="24:24" x14ac:dyDescent="0.35">
      <c r="X400" s="159"/>
    </row>
    <row r="401" spans="24:24" x14ac:dyDescent="0.35">
      <c r="X401" s="159"/>
    </row>
    <row r="402" spans="24:24" x14ac:dyDescent="0.35">
      <c r="X402" s="159"/>
    </row>
    <row r="403" spans="24:24" x14ac:dyDescent="0.35">
      <c r="X403" s="159"/>
    </row>
    <row r="404" spans="24:24" x14ac:dyDescent="0.35">
      <c r="X404" s="159"/>
    </row>
    <row r="405" spans="24:24" x14ac:dyDescent="0.35">
      <c r="X405" s="159"/>
    </row>
    <row r="406" spans="24:24" x14ac:dyDescent="0.35">
      <c r="X406" s="159"/>
    </row>
    <row r="407" spans="24:24" x14ac:dyDescent="0.35">
      <c r="X407" s="159"/>
    </row>
    <row r="408" spans="24:24" x14ac:dyDescent="0.35">
      <c r="X408" s="159"/>
    </row>
    <row r="409" spans="24:24" x14ac:dyDescent="0.35">
      <c r="X409" s="159"/>
    </row>
    <row r="410" spans="24:24" x14ac:dyDescent="0.35">
      <c r="X410" s="159"/>
    </row>
    <row r="411" spans="24:24" x14ac:dyDescent="0.35">
      <c r="X411" s="159"/>
    </row>
    <row r="412" spans="24:24" x14ac:dyDescent="0.35">
      <c r="X412" s="159"/>
    </row>
    <row r="413" spans="24:24" x14ac:dyDescent="0.35">
      <c r="X413" s="159"/>
    </row>
    <row r="414" spans="24:24" x14ac:dyDescent="0.35">
      <c r="X414" s="159"/>
    </row>
    <row r="415" spans="24:24" x14ac:dyDescent="0.35">
      <c r="X415" s="159"/>
    </row>
    <row r="416" spans="24:24" x14ac:dyDescent="0.35">
      <c r="X416" s="159"/>
    </row>
    <row r="417" spans="24:24" x14ac:dyDescent="0.35">
      <c r="X417" s="159"/>
    </row>
    <row r="418" spans="24:24" x14ac:dyDescent="0.35">
      <c r="X418" s="159"/>
    </row>
    <row r="419" spans="24:24" x14ac:dyDescent="0.35">
      <c r="X419" s="159"/>
    </row>
    <row r="420" spans="24:24" x14ac:dyDescent="0.35">
      <c r="X420" s="159"/>
    </row>
    <row r="421" spans="24:24" x14ac:dyDescent="0.35">
      <c r="X421" s="159"/>
    </row>
    <row r="422" spans="24:24" x14ac:dyDescent="0.35">
      <c r="X422" s="159"/>
    </row>
    <row r="423" spans="24:24" x14ac:dyDescent="0.35">
      <c r="X423" s="159"/>
    </row>
    <row r="424" spans="24:24" x14ac:dyDescent="0.35">
      <c r="X424" s="159"/>
    </row>
    <row r="425" spans="24:24" x14ac:dyDescent="0.35">
      <c r="X425" s="159"/>
    </row>
    <row r="426" spans="24:24" x14ac:dyDescent="0.35">
      <c r="X426" s="159"/>
    </row>
    <row r="427" spans="24:24" x14ac:dyDescent="0.35">
      <c r="X427" s="159"/>
    </row>
    <row r="428" spans="24:24" x14ac:dyDescent="0.35">
      <c r="X428" s="159"/>
    </row>
    <row r="429" spans="24:24" x14ac:dyDescent="0.35">
      <c r="X429" s="159"/>
    </row>
    <row r="430" spans="24:24" x14ac:dyDescent="0.35">
      <c r="X430" s="159"/>
    </row>
    <row r="431" spans="24:24" x14ac:dyDescent="0.35">
      <c r="X431" s="159"/>
    </row>
    <row r="432" spans="24:24" x14ac:dyDescent="0.35">
      <c r="X432" s="159"/>
    </row>
    <row r="433" spans="24:24" x14ac:dyDescent="0.35">
      <c r="X433" s="159"/>
    </row>
    <row r="434" spans="24:24" x14ac:dyDescent="0.35">
      <c r="X434" s="159"/>
    </row>
    <row r="435" spans="24:24" x14ac:dyDescent="0.35">
      <c r="X435" s="159"/>
    </row>
    <row r="436" spans="24:24" x14ac:dyDescent="0.35">
      <c r="X436" s="159"/>
    </row>
    <row r="437" spans="24:24" x14ac:dyDescent="0.35">
      <c r="X437" s="159"/>
    </row>
    <row r="438" spans="24:24" x14ac:dyDescent="0.35">
      <c r="X438" s="159"/>
    </row>
    <row r="439" spans="24:24" x14ac:dyDescent="0.35">
      <c r="X439" s="159"/>
    </row>
    <row r="440" spans="24:24" x14ac:dyDescent="0.35">
      <c r="X440" s="159"/>
    </row>
    <row r="441" spans="24:24" x14ac:dyDescent="0.35">
      <c r="X441" s="159"/>
    </row>
    <row r="442" spans="24:24" x14ac:dyDescent="0.35">
      <c r="X442" s="159"/>
    </row>
    <row r="443" spans="24:24" x14ac:dyDescent="0.35">
      <c r="X443" s="159"/>
    </row>
    <row r="444" spans="24:24" x14ac:dyDescent="0.35">
      <c r="X444" s="159"/>
    </row>
    <row r="445" spans="24:24" x14ac:dyDescent="0.35">
      <c r="X445" s="159"/>
    </row>
    <row r="446" spans="24:24" x14ac:dyDescent="0.35">
      <c r="X446" s="159"/>
    </row>
    <row r="447" spans="24:24" x14ac:dyDescent="0.35">
      <c r="X447" s="159"/>
    </row>
    <row r="448" spans="24:24" x14ac:dyDescent="0.35">
      <c r="X448" s="159"/>
    </row>
    <row r="449" spans="24:24" x14ac:dyDescent="0.35">
      <c r="X449" s="159"/>
    </row>
    <row r="450" spans="24:24" x14ac:dyDescent="0.35">
      <c r="X450" s="159"/>
    </row>
    <row r="451" spans="24:24" x14ac:dyDescent="0.35">
      <c r="X451" s="159"/>
    </row>
    <row r="452" spans="24:24" x14ac:dyDescent="0.35">
      <c r="X452" s="159"/>
    </row>
    <row r="453" spans="24:24" x14ac:dyDescent="0.35">
      <c r="X453" s="159"/>
    </row>
    <row r="454" spans="24:24" x14ac:dyDescent="0.35">
      <c r="X454" s="159"/>
    </row>
    <row r="455" spans="24:24" x14ac:dyDescent="0.35">
      <c r="X455" s="159"/>
    </row>
    <row r="456" spans="24:24" x14ac:dyDescent="0.35">
      <c r="X456" s="159"/>
    </row>
    <row r="457" spans="24:24" x14ac:dyDescent="0.35">
      <c r="X457" s="159"/>
    </row>
    <row r="458" spans="24:24" x14ac:dyDescent="0.35">
      <c r="X458" s="159"/>
    </row>
    <row r="459" spans="24:24" x14ac:dyDescent="0.35">
      <c r="X459" s="159"/>
    </row>
    <row r="460" spans="24:24" x14ac:dyDescent="0.35">
      <c r="X460" s="159"/>
    </row>
    <row r="461" spans="24:24" x14ac:dyDescent="0.35">
      <c r="X461" s="159"/>
    </row>
    <row r="462" spans="24:24" x14ac:dyDescent="0.35">
      <c r="X462" s="159"/>
    </row>
    <row r="463" spans="24:24" x14ac:dyDescent="0.35">
      <c r="X463" s="159"/>
    </row>
    <row r="464" spans="24:24" x14ac:dyDescent="0.35">
      <c r="X464" s="159"/>
    </row>
    <row r="465" spans="24:24" x14ac:dyDescent="0.35">
      <c r="X465" s="159"/>
    </row>
    <row r="466" spans="24:24" x14ac:dyDescent="0.35">
      <c r="X466" s="159"/>
    </row>
    <row r="467" spans="24:24" x14ac:dyDescent="0.35">
      <c r="X467" s="159"/>
    </row>
    <row r="468" spans="24:24" x14ac:dyDescent="0.35">
      <c r="X468" s="159"/>
    </row>
    <row r="469" spans="24:24" x14ac:dyDescent="0.35">
      <c r="X469" s="159"/>
    </row>
    <row r="470" spans="24:24" x14ac:dyDescent="0.35">
      <c r="X470" s="159"/>
    </row>
    <row r="471" spans="24:24" x14ac:dyDescent="0.35">
      <c r="X471" s="159"/>
    </row>
    <row r="472" spans="24:24" x14ac:dyDescent="0.35">
      <c r="X472" s="159"/>
    </row>
    <row r="473" spans="24:24" x14ac:dyDescent="0.35">
      <c r="X473" s="159"/>
    </row>
    <row r="474" spans="24:24" x14ac:dyDescent="0.35">
      <c r="X474" s="159"/>
    </row>
    <row r="475" spans="24:24" x14ac:dyDescent="0.35">
      <c r="X475" s="159"/>
    </row>
    <row r="476" spans="24:24" x14ac:dyDescent="0.35">
      <c r="X476" s="159"/>
    </row>
    <row r="477" spans="24:24" x14ac:dyDescent="0.35">
      <c r="X477" s="159"/>
    </row>
    <row r="478" spans="24:24" x14ac:dyDescent="0.35">
      <c r="X478" s="159"/>
    </row>
    <row r="479" spans="24:24" x14ac:dyDescent="0.35">
      <c r="X479" s="159"/>
    </row>
    <row r="480" spans="24:24" x14ac:dyDescent="0.35">
      <c r="X480" s="159"/>
    </row>
    <row r="481" spans="24:24" x14ac:dyDescent="0.35">
      <c r="X481" s="159"/>
    </row>
    <row r="482" spans="24:24" x14ac:dyDescent="0.35">
      <c r="X482" s="159"/>
    </row>
    <row r="483" spans="24:24" x14ac:dyDescent="0.35">
      <c r="X483" s="159"/>
    </row>
    <row r="484" spans="24:24" x14ac:dyDescent="0.35">
      <c r="X484" s="159"/>
    </row>
    <row r="485" spans="24:24" x14ac:dyDescent="0.35">
      <c r="X485" s="159"/>
    </row>
    <row r="486" spans="24:24" x14ac:dyDescent="0.35">
      <c r="X486" s="159"/>
    </row>
    <row r="487" spans="24:24" x14ac:dyDescent="0.35">
      <c r="X487" s="159"/>
    </row>
    <row r="488" spans="24:24" x14ac:dyDescent="0.35">
      <c r="X488" s="159"/>
    </row>
    <row r="489" spans="24:24" x14ac:dyDescent="0.35">
      <c r="X489" s="159"/>
    </row>
    <row r="490" spans="24:24" x14ac:dyDescent="0.35">
      <c r="X490" s="159"/>
    </row>
    <row r="491" spans="24:24" x14ac:dyDescent="0.35">
      <c r="X491" s="159"/>
    </row>
    <row r="492" spans="24:24" x14ac:dyDescent="0.35">
      <c r="X492" s="159"/>
    </row>
    <row r="493" spans="24:24" x14ac:dyDescent="0.35">
      <c r="X493" s="159"/>
    </row>
    <row r="494" spans="24:24" x14ac:dyDescent="0.35">
      <c r="X494" s="159"/>
    </row>
    <row r="495" spans="24:24" x14ac:dyDescent="0.35">
      <c r="X495" s="159"/>
    </row>
    <row r="496" spans="24:24" x14ac:dyDescent="0.35">
      <c r="X496" s="159"/>
    </row>
    <row r="497" spans="24:24" x14ac:dyDescent="0.35">
      <c r="X497" s="159"/>
    </row>
    <row r="498" spans="24:24" x14ac:dyDescent="0.35">
      <c r="X498" s="159"/>
    </row>
    <row r="499" spans="24:24" x14ac:dyDescent="0.35">
      <c r="X499" s="159"/>
    </row>
    <row r="500" spans="24:24" x14ac:dyDescent="0.35">
      <c r="X500" s="159"/>
    </row>
    <row r="501" spans="24:24" x14ac:dyDescent="0.35">
      <c r="X501" s="159"/>
    </row>
    <row r="502" spans="24:24" x14ac:dyDescent="0.35">
      <c r="X502" s="159"/>
    </row>
    <row r="503" spans="24:24" x14ac:dyDescent="0.35">
      <c r="X503" s="159"/>
    </row>
    <row r="504" spans="24:24" x14ac:dyDescent="0.35">
      <c r="X504" s="159"/>
    </row>
    <row r="505" spans="24:24" x14ac:dyDescent="0.35">
      <c r="X505" s="159"/>
    </row>
    <row r="506" spans="24:24" x14ac:dyDescent="0.35">
      <c r="X506" s="159"/>
    </row>
    <row r="507" spans="24:24" x14ac:dyDescent="0.35">
      <c r="X507" s="159"/>
    </row>
  </sheetData>
  <sheetProtection algorithmName="SHA-512" hashValue="1DNurAvsifj0i1JGCBo6HvHkUAhJuj2nVnS9qDqnTdb/1k/S+1UhhtrnO3df2T+8yoh6PXyB3q4IjAWDUUkeLQ==" saltValue="7JM/6KqkURZNhLL+FBgeFw==" spinCount="100000" sheet="1" objects="1" scenarios="1" selectLockedCells="1" selectUnlockedCells="1"/>
  <mergeCells count="109">
    <mergeCell ref="M5:Q5"/>
    <mergeCell ref="R5:T5"/>
    <mergeCell ref="M6:Q6"/>
    <mergeCell ref="R6:T6"/>
    <mergeCell ref="M1:T2"/>
    <mergeCell ref="M24:Q24"/>
    <mergeCell ref="R24:T24"/>
    <mergeCell ref="M25:Q25"/>
    <mergeCell ref="R25:T25"/>
    <mergeCell ref="S10:T10"/>
    <mergeCell ref="S11:T11"/>
    <mergeCell ref="Q12:R12"/>
    <mergeCell ref="S12:T12"/>
    <mergeCell ref="P13:R13"/>
    <mergeCell ref="S13:T13"/>
    <mergeCell ref="P14:R14"/>
    <mergeCell ref="P15:R15"/>
    <mergeCell ref="S15:T15"/>
    <mergeCell ref="P16:R16"/>
    <mergeCell ref="S16:T16"/>
    <mergeCell ref="P17:R17"/>
    <mergeCell ref="S17:T17"/>
    <mergeCell ref="P18:R18"/>
    <mergeCell ref="P19:R19"/>
    <mergeCell ref="D38:F38"/>
    <mergeCell ref="G38:H38"/>
    <mergeCell ref="A39:E39"/>
    <mergeCell ref="F39:H39"/>
    <mergeCell ref="D36:F36"/>
    <mergeCell ref="G36:H36"/>
    <mergeCell ref="D37:F37"/>
    <mergeCell ref="D34:F34"/>
    <mergeCell ref="G34:H34"/>
    <mergeCell ref="D35:F35"/>
    <mergeCell ref="D31:F31"/>
    <mergeCell ref="D32:F32"/>
    <mergeCell ref="G32:H32"/>
    <mergeCell ref="D33:F33"/>
    <mergeCell ref="G33:H33"/>
    <mergeCell ref="D29:F29"/>
    <mergeCell ref="G29:H29"/>
    <mergeCell ref="D30:F30"/>
    <mergeCell ref="G30:H30"/>
    <mergeCell ref="D27:F27"/>
    <mergeCell ref="D28:F28"/>
    <mergeCell ref="G28:H28"/>
    <mergeCell ref="G23:H23"/>
    <mergeCell ref="G24:H24"/>
    <mergeCell ref="A26:B26"/>
    <mergeCell ref="D26:F26"/>
    <mergeCell ref="G26:H26"/>
    <mergeCell ref="G20:H20"/>
    <mergeCell ref="G21:H21"/>
    <mergeCell ref="G22:H22"/>
    <mergeCell ref="A1:H2"/>
    <mergeCell ref="A3:H3"/>
    <mergeCell ref="A4:E4"/>
    <mergeCell ref="F4:H4"/>
    <mergeCell ref="A18:H18"/>
    <mergeCell ref="G19:H19"/>
    <mergeCell ref="A14:E14"/>
    <mergeCell ref="F14:H14"/>
    <mergeCell ref="A16:H17"/>
    <mergeCell ref="A12:E12"/>
    <mergeCell ref="F12:H12"/>
    <mergeCell ref="A13:E13"/>
    <mergeCell ref="F13:H13"/>
    <mergeCell ref="A8:H9"/>
    <mergeCell ref="A10:H11"/>
    <mergeCell ref="A5:E5"/>
    <mergeCell ref="F5:H5"/>
    <mergeCell ref="A6:E6"/>
    <mergeCell ref="F6:H6"/>
    <mergeCell ref="P34:R34"/>
    <mergeCell ref="P35:R35"/>
    <mergeCell ref="S35:T35"/>
    <mergeCell ref="M22:T23"/>
    <mergeCell ref="M26:T26"/>
    <mergeCell ref="M27:M28"/>
    <mergeCell ref="N27:N28"/>
    <mergeCell ref="O27:O28"/>
    <mergeCell ref="P27:P28"/>
    <mergeCell ref="Q27:Q28"/>
    <mergeCell ref="R27:R28"/>
    <mergeCell ref="S27:T28"/>
    <mergeCell ref="P44:R44"/>
    <mergeCell ref="P45:R45"/>
    <mergeCell ref="S45:T45"/>
    <mergeCell ref="M3:T4"/>
    <mergeCell ref="M7:T7"/>
    <mergeCell ref="S8:T8"/>
    <mergeCell ref="S9:T9"/>
    <mergeCell ref="P37:R37"/>
    <mergeCell ref="S37:T37"/>
    <mergeCell ref="P38:R38"/>
    <mergeCell ref="P39:R39"/>
    <mergeCell ref="S39:T39"/>
    <mergeCell ref="P41:R41"/>
    <mergeCell ref="S41:T41"/>
    <mergeCell ref="P42:R42"/>
    <mergeCell ref="P43:R43"/>
    <mergeCell ref="S43:T43"/>
    <mergeCell ref="S29:T29"/>
    <mergeCell ref="S30:T30"/>
    <mergeCell ref="S31:T31"/>
    <mergeCell ref="S19:T19"/>
    <mergeCell ref="S32:T32"/>
    <mergeCell ref="P33:R33"/>
    <mergeCell ref="S33:T33"/>
  </mergeCells>
  <conditionalFormatting sqref="A37 A31">
    <cfRule type="cellIs" dxfId="3" priority="14" stopIfTrue="1" operator="notEqual">
      <formula>0</formula>
    </cfRule>
  </conditionalFormatting>
  <conditionalFormatting sqref="E20:E24">
    <cfRule type="cellIs" dxfId="2" priority="13" stopIfTrue="1" operator="greaterThan">
      <formula>0.9</formula>
    </cfRule>
  </conditionalFormatting>
  <conditionalFormatting sqref="Q29:Q32">
    <cfRule type="cellIs" dxfId="1" priority="4" stopIfTrue="1" operator="greaterThan">
      <formula>0.9</formula>
    </cfRule>
  </conditionalFormatting>
  <conditionalFormatting sqref="Q9:Q11">
    <cfRule type="cellIs" dxfId="0" priority="2" stopIfTrue="1" operator="greaterThan">
      <formula>0.9</formula>
    </cfRule>
  </conditionalFormatting>
  <conditionalFormatting sqref="N32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{A6FC36D4-7454-47B3-893E-40963B6C442A}</x14:id>
        </ext>
      </extLst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6FC36D4-7454-47B3-893E-40963B6C442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N32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CDP</vt:lpstr>
      <vt:lpstr>FR</vt:lpstr>
      <vt:lpstr>LL</vt:lpstr>
      <vt:lpstr>SV</vt:lpstr>
      <vt:lpstr>PF</vt:lpstr>
      <vt:lpstr>ListeDGC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BERRET</dc:creator>
  <cp:lastModifiedBy>Juliet GIRARD</cp:lastModifiedBy>
  <dcterms:created xsi:type="dcterms:W3CDTF">2017-01-17T15:09:20Z</dcterms:created>
  <dcterms:modified xsi:type="dcterms:W3CDTF">2021-03-29T09:13:28Z</dcterms:modified>
</cp:coreProperties>
</file>