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13- Qualité\13.4 Formulaires\4.2 Obligations déclaratives\"/>
    </mc:Choice>
  </mc:AlternateContent>
  <xr:revisionPtr revIDLastSave="0" documentId="13_ncr:1_{23A6BBDD-E9F6-4C97-98C4-CCE32813DA17}" xr6:coauthVersionLast="47" xr6:coauthVersionMax="47" xr10:uidLastSave="{00000000-0000-0000-0000-000000000000}"/>
  <bookViews>
    <workbookView xWindow="-28920" yWindow="660" windowWidth="29040" windowHeight="15840" activeTab="1" xr2:uid="{00000000-000D-0000-FFFF-FFFF00000000}"/>
  </bookViews>
  <sheets>
    <sheet name="Notice" sheetId="9" r:id="rId1"/>
    <sheet name="CDP" sheetId="2" r:id="rId2"/>
    <sheet name="Sainte-Victoire" sheetId="5" r:id="rId3"/>
    <sheet name="Fréjus" sheetId="8" r:id="rId4"/>
    <sheet name="Pierrefeu" sheetId="6" r:id="rId5"/>
    <sheet name="La Londe" sheetId="4" r:id="rId6"/>
    <sheet name="Notre-Dame-des-Anges" sheetId="7" r:id="rId7"/>
  </sheets>
  <definedNames>
    <definedName name="_xlnm._FilterDatabase" localSheetId="1" hidden="1">CDP!$A$4:$DR$4</definedName>
    <definedName name="_xlnm.Print_Area" localSheetId="1">CDP!$A$3:$EI$35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8" i="2" l="1"/>
  <c r="B45" i="7" l="1"/>
  <c r="B44" i="7"/>
  <c r="B43" i="7"/>
  <c r="B42" i="7"/>
  <c r="B39" i="7"/>
  <c r="B38" i="7"/>
  <c r="B37" i="7"/>
  <c r="B34" i="7"/>
  <c r="B33" i="7"/>
  <c r="B32" i="7"/>
  <c r="B35" i="7" l="1"/>
  <c r="B41" i="4" l="1"/>
  <c r="Q52" i="4"/>
  <c r="AO38" i="2" l="1"/>
  <c r="AO44" i="2"/>
  <c r="AB17" i="2"/>
  <c r="F7" i="6"/>
  <c r="F6" i="6"/>
  <c r="F5" i="6"/>
  <c r="C5" i="6"/>
  <c r="CC5" i="2"/>
  <c r="CD5" i="2"/>
  <c r="CE5" i="2"/>
  <c r="CF5" i="2"/>
  <c r="CR5" i="2" s="1"/>
  <c r="CG5" i="2"/>
  <c r="CH5" i="2"/>
  <c r="CI5" i="2"/>
  <c r="CJ5" i="2"/>
  <c r="CK5" i="2"/>
  <c r="CL5" i="2"/>
  <c r="CM5" i="2"/>
  <c r="CN5" i="2"/>
  <c r="CO5" i="2"/>
  <c r="CP5" i="2"/>
  <c r="CQ5" i="2"/>
  <c r="CS7" i="2" s="1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BE8" i="2"/>
  <c r="BR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U8" i="2"/>
  <c r="DH8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AF10" i="2"/>
  <c r="AO54" i="2" s="1"/>
  <c r="AR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AB11" i="2"/>
  <c r="AO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AO12" i="2"/>
  <c r="AO13" i="2" s="1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U12" i="2"/>
  <c r="AR13" i="2"/>
  <c r="BE13" i="2"/>
  <c r="BR13" i="2"/>
  <c r="CB8" i="2" s="1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DH13" i="2"/>
  <c r="DR8" i="2" s="1"/>
  <c r="AK14" i="2"/>
  <c r="BO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AF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AK17" i="2"/>
  <c r="AK18" i="2" s="1"/>
  <c r="AO17" i="2"/>
  <c r="AO18" i="2" s="1"/>
  <c r="AO19" i="2" s="1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AF19" i="2"/>
  <c r="BR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DH19" i="2"/>
  <c r="AK20" i="2"/>
  <c r="AK21" i="2" s="1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AK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DE24" i="2"/>
  <c r="AF25" i="2"/>
  <c r="BO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AK26" i="2"/>
  <c r="AK28" i="2" s="1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AK27" i="2"/>
  <c r="AR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AR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U28" i="2"/>
  <c r="AR29" i="2"/>
  <c r="BE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DR31" i="2"/>
  <c r="BR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BR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BR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U34" i="2"/>
  <c r="BE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DH35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BR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BR38" i="2"/>
  <c r="CB63" i="2" s="1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BR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DR39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U40" i="2"/>
  <c r="DH40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BR42" i="2"/>
  <c r="CB96" i="2" s="1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DE42" i="2"/>
  <c r="AF43" i="2"/>
  <c r="BR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AF44" i="2"/>
  <c r="AK44" i="2"/>
  <c r="BR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AF45" i="2"/>
  <c r="BR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DR45" i="2"/>
  <c r="AF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DH46" i="2"/>
  <c r="AF47" i="2"/>
  <c r="BD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DR48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AO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DE50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BJ52" i="2"/>
  <c r="BO70" i="2" s="1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BE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BO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BE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BO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DR73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DR81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C241" i="2"/>
  <c r="CD241" i="2"/>
  <c r="CE241" i="2"/>
  <c r="CF241" i="2"/>
  <c r="CG241" i="2"/>
  <c r="CH241" i="2"/>
  <c r="CI241" i="2"/>
  <c r="CJ241" i="2"/>
  <c r="CK241" i="2"/>
  <c r="CL241" i="2"/>
  <c r="CM241" i="2"/>
  <c r="CN241" i="2"/>
  <c r="CO241" i="2"/>
  <c r="CP241" i="2"/>
  <c r="CQ241" i="2"/>
  <c r="CC242" i="2"/>
  <c r="CD242" i="2"/>
  <c r="CE242" i="2"/>
  <c r="CF242" i="2"/>
  <c r="CG242" i="2"/>
  <c r="CH242" i="2"/>
  <c r="CI242" i="2"/>
  <c r="CJ242" i="2"/>
  <c r="CK242" i="2"/>
  <c r="CL242" i="2"/>
  <c r="CM242" i="2"/>
  <c r="CN242" i="2"/>
  <c r="CO242" i="2"/>
  <c r="CP242" i="2"/>
  <c r="CQ242" i="2"/>
  <c r="CC243" i="2"/>
  <c r="CD243" i="2"/>
  <c r="CE243" i="2"/>
  <c r="CF243" i="2"/>
  <c r="CG243" i="2"/>
  <c r="CH243" i="2"/>
  <c r="CI243" i="2"/>
  <c r="CJ243" i="2"/>
  <c r="CK243" i="2"/>
  <c r="CL243" i="2"/>
  <c r="CM243" i="2"/>
  <c r="CN243" i="2"/>
  <c r="CO243" i="2"/>
  <c r="CP243" i="2"/>
  <c r="CQ243" i="2"/>
  <c r="CC244" i="2"/>
  <c r="CD244" i="2"/>
  <c r="CE244" i="2"/>
  <c r="CF244" i="2"/>
  <c r="CG244" i="2"/>
  <c r="CH244" i="2"/>
  <c r="CI244" i="2"/>
  <c r="CJ244" i="2"/>
  <c r="CK244" i="2"/>
  <c r="CL244" i="2"/>
  <c r="CM244" i="2"/>
  <c r="CN244" i="2"/>
  <c r="CO244" i="2"/>
  <c r="CP244" i="2"/>
  <c r="CQ244" i="2"/>
  <c r="CC245" i="2"/>
  <c r="CD245" i="2"/>
  <c r="CE245" i="2"/>
  <c r="CF245" i="2"/>
  <c r="CG245" i="2"/>
  <c r="CH245" i="2"/>
  <c r="CI245" i="2"/>
  <c r="CJ245" i="2"/>
  <c r="CK245" i="2"/>
  <c r="CL245" i="2"/>
  <c r="CM245" i="2"/>
  <c r="CN245" i="2"/>
  <c r="CO245" i="2"/>
  <c r="CP245" i="2"/>
  <c r="CQ245" i="2"/>
  <c r="CC246" i="2"/>
  <c r="CD246" i="2"/>
  <c r="CE246" i="2"/>
  <c r="CF246" i="2"/>
  <c r="CG246" i="2"/>
  <c r="CH246" i="2"/>
  <c r="CI246" i="2"/>
  <c r="CJ246" i="2"/>
  <c r="CK246" i="2"/>
  <c r="CL246" i="2"/>
  <c r="CM246" i="2"/>
  <c r="CN246" i="2"/>
  <c r="CO246" i="2"/>
  <c r="CP246" i="2"/>
  <c r="CQ246" i="2"/>
  <c r="CC247" i="2"/>
  <c r="CD247" i="2"/>
  <c r="CE247" i="2"/>
  <c r="CF247" i="2"/>
  <c r="CG247" i="2"/>
  <c r="CH247" i="2"/>
  <c r="CI247" i="2"/>
  <c r="CJ247" i="2"/>
  <c r="CK247" i="2"/>
  <c r="CL247" i="2"/>
  <c r="CM247" i="2"/>
  <c r="CN247" i="2"/>
  <c r="CO247" i="2"/>
  <c r="CP247" i="2"/>
  <c r="CQ247" i="2"/>
  <c r="CC248" i="2"/>
  <c r="CD248" i="2"/>
  <c r="CE248" i="2"/>
  <c r="CF248" i="2"/>
  <c r="CG248" i="2"/>
  <c r="CH248" i="2"/>
  <c r="CI248" i="2"/>
  <c r="CJ248" i="2"/>
  <c r="CK248" i="2"/>
  <c r="CL248" i="2"/>
  <c r="CM248" i="2"/>
  <c r="CN248" i="2"/>
  <c r="CO248" i="2"/>
  <c r="CP248" i="2"/>
  <c r="CQ248" i="2"/>
  <c r="CC249" i="2"/>
  <c r="CD249" i="2"/>
  <c r="CE249" i="2"/>
  <c r="CF249" i="2"/>
  <c r="CG249" i="2"/>
  <c r="CH249" i="2"/>
  <c r="CI249" i="2"/>
  <c r="CJ249" i="2"/>
  <c r="CK249" i="2"/>
  <c r="CL249" i="2"/>
  <c r="CM249" i="2"/>
  <c r="CN249" i="2"/>
  <c r="CO249" i="2"/>
  <c r="CP249" i="2"/>
  <c r="CQ249" i="2"/>
  <c r="CC250" i="2"/>
  <c r="CD250" i="2"/>
  <c r="CE250" i="2"/>
  <c r="CF250" i="2"/>
  <c r="CG250" i="2"/>
  <c r="CH250" i="2"/>
  <c r="CI250" i="2"/>
  <c r="CJ250" i="2"/>
  <c r="CK250" i="2"/>
  <c r="CL250" i="2"/>
  <c r="CM250" i="2"/>
  <c r="CN250" i="2"/>
  <c r="CO250" i="2"/>
  <c r="CP250" i="2"/>
  <c r="CQ250" i="2"/>
  <c r="CC251" i="2"/>
  <c r="CD251" i="2"/>
  <c r="CE251" i="2"/>
  <c r="CF251" i="2"/>
  <c r="CG251" i="2"/>
  <c r="CH251" i="2"/>
  <c r="CI251" i="2"/>
  <c r="CJ251" i="2"/>
  <c r="CK251" i="2"/>
  <c r="CL251" i="2"/>
  <c r="CM251" i="2"/>
  <c r="CN251" i="2"/>
  <c r="CO251" i="2"/>
  <c r="CP251" i="2"/>
  <c r="CQ251" i="2"/>
  <c r="CC252" i="2"/>
  <c r="CD252" i="2"/>
  <c r="CE252" i="2"/>
  <c r="CF252" i="2"/>
  <c r="CG252" i="2"/>
  <c r="CH252" i="2"/>
  <c r="CI252" i="2"/>
  <c r="CJ252" i="2"/>
  <c r="CK252" i="2"/>
  <c r="CL252" i="2"/>
  <c r="CM252" i="2"/>
  <c r="CN252" i="2"/>
  <c r="CO252" i="2"/>
  <c r="CP252" i="2"/>
  <c r="CQ252" i="2"/>
  <c r="CC253" i="2"/>
  <c r="CD253" i="2"/>
  <c r="CE253" i="2"/>
  <c r="CF253" i="2"/>
  <c r="CG253" i="2"/>
  <c r="CH253" i="2"/>
  <c r="CI253" i="2"/>
  <c r="CJ253" i="2"/>
  <c r="CK253" i="2"/>
  <c r="CL253" i="2"/>
  <c r="CM253" i="2"/>
  <c r="CN253" i="2"/>
  <c r="CO253" i="2"/>
  <c r="CP253" i="2"/>
  <c r="CQ253" i="2"/>
  <c r="CC254" i="2"/>
  <c r="CD254" i="2"/>
  <c r="CE254" i="2"/>
  <c r="CF254" i="2"/>
  <c r="CG254" i="2"/>
  <c r="CH254" i="2"/>
  <c r="CI254" i="2"/>
  <c r="CJ254" i="2"/>
  <c r="CK254" i="2"/>
  <c r="CL254" i="2"/>
  <c r="CM254" i="2"/>
  <c r="CN254" i="2"/>
  <c r="CO254" i="2"/>
  <c r="CP254" i="2"/>
  <c r="CQ254" i="2"/>
  <c r="CC255" i="2"/>
  <c r="CD255" i="2"/>
  <c r="CE255" i="2"/>
  <c r="CF255" i="2"/>
  <c r="CG255" i="2"/>
  <c r="CH255" i="2"/>
  <c r="CI255" i="2"/>
  <c r="CJ255" i="2"/>
  <c r="CK255" i="2"/>
  <c r="CL255" i="2"/>
  <c r="CM255" i="2"/>
  <c r="CN255" i="2"/>
  <c r="CO255" i="2"/>
  <c r="CP255" i="2"/>
  <c r="CQ255" i="2"/>
  <c r="CC256" i="2"/>
  <c r="CD256" i="2"/>
  <c r="CE256" i="2"/>
  <c r="CF256" i="2"/>
  <c r="CG256" i="2"/>
  <c r="CH256" i="2"/>
  <c r="CI256" i="2"/>
  <c r="CJ256" i="2"/>
  <c r="CK256" i="2"/>
  <c r="CL256" i="2"/>
  <c r="CM256" i="2"/>
  <c r="CN256" i="2"/>
  <c r="CO256" i="2"/>
  <c r="CP256" i="2"/>
  <c r="CQ256" i="2"/>
  <c r="CC257" i="2"/>
  <c r="CD257" i="2"/>
  <c r="CE257" i="2"/>
  <c r="CF257" i="2"/>
  <c r="CG257" i="2"/>
  <c r="CH257" i="2"/>
  <c r="CI257" i="2"/>
  <c r="CJ257" i="2"/>
  <c r="CK257" i="2"/>
  <c r="CL257" i="2"/>
  <c r="CM257" i="2"/>
  <c r="CN257" i="2"/>
  <c r="CO257" i="2"/>
  <c r="CP257" i="2"/>
  <c r="CQ257" i="2"/>
  <c r="CC258" i="2"/>
  <c r="CD258" i="2"/>
  <c r="CE258" i="2"/>
  <c r="CF258" i="2"/>
  <c r="CG258" i="2"/>
  <c r="CH258" i="2"/>
  <c r="CI258" i="2"/>
  <c r="CJ258" i="2"/>
  <c r="CK258" i="2"/>
  <c r="CL258" i="2"/>
  <c r="CM258" i="2"/>
  <c r="CN258" i="2"/>
  <c r="CO258" i="2"/>
  <c r="CP258" i="2"/>
  <c r="CQ258" i="2"/>
  <c r="CC259" i="2"/>
  <c r="CD259" i="2"/>
  <c r="CE259" i="2"/>
  <c r="CF259" i="2"/>
  <c r="CG259" i="2"/>
  <c r="CH259" i="2"/>
  <c r="CI259" i="2"/>
  <c r="CJ259" i="2"/>
  <c r="CK259" i="2"/>
  <c r="CL259" i="2"/>
  <c r="CM259" i="2"/>
  <c r="CN259" i="2"/>
  <c r="CO259" i="2"/>
  <c r="CP259" i="2"/>
  <c r="CQ259" i="2"/>
  <c r="CC260" i="2"/>
  <c r="CD260" i="2"/>
  <c r="CE260" i="2"/>
  <c r="CF260" i="2"/>
  <c r="CG260" i="2"/>
  <c r="CH260" i="2"/>
  <c r="CI260" i="2"/>
  <c r="CJ260" i="2"/>
  <c r="CK260" i="2"/>
  <c r="CL260" i="2"/>
  <c r="CM260" i="2"/>
  <c r="CN260" i="2"/>
  <c r="CO260" i="2"/>
  <c r="CP260" i="2"/>
  <c r="CQ260" i="2"/>
  <c r="CC261" i="2"/>
  <c r="CD261" i="2"/>
  <c r="CE261" i="2"/>
  <c r="CF261" i="2"/>
  <c r="CG261" i="2"/>
  <c r="CH261" i="2"/>
  <c r="CI261" i="2"/>
  <c r="CJ261" i="2"/>
  <c r="CK261" i="2"/>
  <c r="CL261" i="2"/>
  <c r="CM261" i="2"/>
  <c r="CN261" i="2"/>
  <c r="CO261" i="2"/>
  <c r="CP261" i="2"/>
  <c r="CQ261" i="2"/>
  <c r="CC262" i="2"/>
  <c r="CD262" i="2"/>
  <c r="CE262" i="2"/>
  <c r="CF262" i="2"/>
  <c r="CG262" i="2"/>
  <c r="CH262" i="2"/>
  <c r="CI262" i="2"/>
  <c r="CJ262" i="2"/>
  <c r="CK262" i="2"/>
  <c r="CL262" i="2"/>
  <c r="CM262" i="2"/>
  <c r="CN262" i="2"/>
  <c r="CO262" i="2"/>
  <c r="CP262" i="2"/>
  <c r="CQ262" i="2"/>
  <c r="CC263" i="2"/>
  <c r="CD263" i="2"/>
  <c r="CE263" i="2"/>
  <c r="CF263" i="2"/>
  <c r="CG263" i="2"/>
  <c r="CH263" i="2"/>
  <c r="CI263" i="2"/>
  <c r="CJ263" i="2"/>
  <c r="CK263" i="2"/>
  <c r="CL263" i="2"/>
  <c r="CM263" i="2"/>
  <c r="CN263" i="2"/>
  <c r="CO263" i="2"/>
  <c r="CP263" i="2"/>
  <c r="CQ263" i="2"/>
  <c r="CC264" i="2"/>
  <c r="CD264" i="2"/>
  <c r="CE264" i="2"/>
  <c r="CF264" i="2"/>
  <c r="CG264" i="2"/>
  <c r="CH264" i="2"/>
  <c r="CI264" i="2"/>
  <c r="CJ264" i="2"/>
  <c r="CK264" i="2"/>
  <c r="CL264" i="2"/>
  <c r="CM264" i="2"/>
  <c r="CN264" i="2"/>
  <c r="CO264" i="2"/>
  <c r="CP264" i="2"/>
  <c r="CQ264" i="2"/>
  <c r="CC265" i="2"/>
  <c r="CD265" i="2"/>
  <c r="CE265" i="2"/>
  <c r="CF265" i="2"/>
  <c r="CG265" i="2"/>
  <c r="CH265" i="2"/>
  <c r="CI265" i="2"/>
  <c r="CJ265" i="2"/>
  <c r="CK265" i="2"/>
  <c r="CL265" i="2"/>
  <c r="CM265" i="2"/>
  <c r="CN265" i="2"/>
  <c r="CO265" i="2"/>
  <c r="CP265" i="2"/>
  <c r="CQ265" i="2"/>
  <c r="CC266" i="2"/>
  <c r="CD266" i="2"/>
  <c r="CE266" i="2"/>
  <c r="CF266" i="2"/>
  <c r="CG266" i="2"/>
  <c r="CH266" i="2"/>
  <c r="CI266" i="2"/>
  <c r="CJ266" i="2"/>
  <c r="CK266" i="2"/>
  <c r="CL266" i="2"/>
  <c r="CM266" i="2"/>
  <c r="CN266" i="2"/>
  <c r="CO266" i="2"/>
  <c r="CP266" i="2"/>
  <c r="CQ266" i="2"/>
  <c r="CC267" i="2"/>
  <c r="CD267" i="2"/>
  <c r="CE267" i="2"/>
  <c r="CF267" i="2"/>
  <c r="CG267" i="2"/>
  <c r="CH267" i="2"/>
  <c r="CI267" i="2"/>
  <c r="CJ267" i="2"/>
  <c r="CK267" i="2"/>
  <c r="CL267" i="2"/>
  <c r="CM267" i="2"/>
  <c r="CN267" i="2"/>
  <c r="CO267" i="2"/>
  <c r="CP267" i="2"/>
  <c r="CQ267" i="2"/>
  <c r="CC268" i="2"/>
  <c r="CD268" i="2"/>
  <c r="CE268" i="2"/>
  <c r="CF268" i="2"/>
  <c r="CG268" i="2"/>
  <c r="CH268" i="2"/>
  <c r="CI268" i="2"/>
  <c r="CJ268" i="2"/>
  <c r="CK268" i="2"/>
  <c r="CL268" i="2"/>
  <c r="CM268" i="2"/>
  <c r="CN268" i="2"/>
  <c r="CO268" i="2"/>
  <c r="CP268" i="2"/>
  <c r="CQ268" i="2"/>
  <c r="CC269" i="2"/>
  <c r="CD269" i="2"/>
  <c r="CE269" i="2"/>
  <c r="CF269" i="2"/>
  <c r="CG269" i="2"/>
  <c r="CH269" i="2"/>
  <c r="CI269" i="2"/>
  <c r="CJ269" i="2"/>
  <c r="CK269" i="2"/>
  <c r="CL269" i="2"/>
  <c r="CM269" i="2"/>
  <c r="CN269" i="2"/>
  <c r="CO269" i="2"/>
  <c r="CP269" i="2"/>
  <c r="CQ269" i="2"/>
  <c r="CC270" i="2"/>
  <c r="CD270" i="2"/>
  <c r="CE270" i="2"/>
  <c r="CF270" i="2"/>
  <c r="CG270" i="2"/>
  <c r="CH270" i="2"/>
  <c r="CI270" i="2"/>
  <c r="CJ270" i="2"/>
  <c r="CK270" i="2"/>
  <c r="CL270" i="2"/>
  <c r="CM270" i="2"/>
  <c r="CN270" i="2"/>
  <c r="CO270" i="2"/>
  <c r="CP270" i="2"/>
  <c r="CQ270" i="2"/>
  <c r="CC271" i="2"/>
  <c r="CD271" i="2"/>
  <c r="CE271" i="2"/>
  <c r="CF271" i="2"/>
  <c r="CG271" i="2"/>
  <c r="CH271" i="2"/>
  <c r="CI271" i="2"/>
  <c r="CJ271" i="2"/>
  <c r="CK271" i="2"/>
  <c r="CL271" i="2"/>
  <c r="CM271" i="2"/>
  <c r="CN271" i="2"/>
  <c r="CO271" i="2"/>
  <c r="CP271" i="2"/>
  <c r="CQ271" i="2"/>
  <c r="CC272" i="2"/>
  <c r="CD272" i="2"/>
  <c r="CE272" i="2"/>
  <c r="CF272" i="2"/>
  <c r="CG272" i="2"/>
  <c r="CH272" i="2"/>
  <c r="CI272" i="2"/>
  <c r="CJ272" i="2"/>
  <c r="CK272" i="2"/>
  <c r="CL272" i="2"/>
  <c r="CM272" i="2"/>
  <c r="CN272" i="2"/>
  <c r="CO272" i="2"/>
  <c r="CP272" i="2"/>
  <c r="CQ272" i="2"/>
  <c r="CC273" i="2"/>
  <c r="CD273" i="2"/>
  <c r="CE273" i="2"/>
  <c r="CF273" i="2"/>
  <c r="CG273" i="2"/>
  <c r="CH273" i="2"/>
  <c r="CI273" i="2"/>
  <c r="CJ273" i="2"/>
  <c r="CK273" i="2"/>
  <c r="CL273" i="2"/>
  <c r="CM273" i="2"/>
  <c r="CN273" i="2"/>
  <c r="CO273" i="2"/>
  <c r="CP273" i="2"/>
  <c r="CQ273" i="2"/>
  <c r="CC274" i="2"/>
  <c r="CD274" i="2"/>
  <c r="CE274" i="2"/>
  <c r="CF274" i="2"/>
  <c r="CG274" i="2"/>
  <c r="CH274" i="2"/>
  <c r="CI274" i="2"/>
  <c r="CJ274" i="2"/>
  <c r="CK274" i="2"/>
  <c r="CL274" i="2"/>
  <c r="CM274" i="2"/>
  <c r="CN274" i="2"/>
  <c r="CO274" i="2"/>
  <c r="CP274" i="2"/>
  <c r="CQ274" i="2"/>
  <c r="CC275" i="2"/>
  <c r="CD275" i="2"/>
  <c r="CE275" i="2"/>
  <c r="CF275" i="2"/>
  <c r="CG275" i="2"/>
  <c r="CH275" i="2"/>
  <c r="CI275" i="2"/>
  <c r="CJ275" i="2"/>
  <c r="CK275" i="2"/>
  <c r="CL275" i="2"/>
  <c r="CM275" i="2"/>
  <c r="CN275" i="2"/>
  <c r="CO275" i="2"/>
  <c r="CP275" i="2"/>
  <c r="CQ275" i="2"/>
  <c r="CC276" i="2"/>
  <c r="CD276" i="2"/>
  <c r="CE276" i="2"/>
  <c r="CF276" i="2"/>
  <c r="CG276" i="2"/>
  <c r="CH276" i="2"/>
  <c r="CI276" i="2"/>
  <c r="CJ276" i="2"/>
  <c r="CK276" i="2"/>
  <c r="CL276" i="2"/>
  <c r="CM276" i="2"/>
  <c r="CN276" i="2"/>
  <c r="CO276" i="2"/>
  <c r="CP276" i="2"/>
  <c r="CQ276" i="2"/>
  <c r="CC277" i="2"/>
  <c r="CD277" i="2"/>
  <c r="CE277" i="2"/>
  <c r="CF277" i="2"/>
  <c r="CG277" i="2"/>
  <c r="CH277" i="2"/>
  <c r="CI277" i="2"/>
  <c r="CJ277" i="2"/>
  <c r="CK277" i="2"/>
  <c r="CL277" i="2"/>
  <c r="CM277" i="2"/>
  <c r="CN277" i="2"/>
  <c r="CO277" i="2"/>
  <c r="CP277" i="2"/>
  <c r="CQ277" i="2"/>
  <c r="CC278" i="2"/>
  <c r="CD278" i="2"/>
  <c r="CE278" i="2"/>
  <c r="CF278" i="2"/>
  <c r="CG278" i="2"/>
  <c r="CH278" i="2"/>
  <c r="CI278" i="2"/>
  <c r="CJ278" i="2"/>
  <c r="CK278" i="2"/>
  <c r="CL278" i="2"/>
  <c r="CM278" i="2"/>
  <c r="CN278" i="2"/>
  <c r="CO278" i="2"/>
  <c r="CP278" i="2"/>
  <c r="CQ278" i="2"/>
  <c r="CC279" i="2"/>
  <c r="CD279" i="2"/>
  <c r="CE279" i="2"/>
  <c r="CF279" i="2"/>
  <c r="CG279" i="2"/>
  <c r="CH279" i="2"/>
  <c r="CI279" i="2"/>
  <c r="CJ279" i="2"/>
  <c r="CK279" i="2"/>
  <c r="CL279" i="2"/>
  <c r="CM279" i="2"/>
  <c r="CN279" i="2"/>
  <c r="CO279" i="2"/>
  <c r="CP279" i="2"/>
  <c r="CQ279" i="2"/>
  <c r="CC280" i="2"/>
  <c r="CD280" i="2"/>
  <c r="CE280" i="2"/>
  <c r="CF280" i="2"/>
  <c r="CG280" i="2"/>
  <c r="CH280" i="2"/>
  <c r="CI280" i="2"/>
  <c r="CJ280" i="2"/>
  <c r="CK280" i="2"/>
  <c r="CL280" i="2"/>
  <c r="CM280" i="2"/>
  <c r="CN280" i="2"/>
  <c r="CO280" i="2"/>
  <c r="CP280" i="2"/>
  <c r="CQ280" i="2"/>
  <c r="CC281" i="2"/>
  <c r="CD281" i="2"/>
  <c r="CE281" i="2"/>
  <c r="CF281" i="2"/>
  <c r="CG281" i="2"/>
  <c r="CH281" i="2"/>
  <c r="CI281" i="2"/>
  <c r="CJ281" i="2"/>
  <c r="CK281" i="2"/>
  <c r="CL281" i="2"/>
  <c r="CM281" i="2"/>
  <c r="CN281" i="2"/>
  <c r="CO281" i="2"/>
  <c r="CP281" i="2"/>
  <c r="CQ281" i="2"/>
  <c r="CC282" i="2"/>
  <c r="CD282" i="2"/>
  <c r="CE282" i="2"/>
  <c r="CF282" i="2"/>
  <c r="CG282" i="2"/>
  <c r="CH282" i="2"/>
  <c r="CI282" i="2"/>
  <c r="CJ282" i="2"/>
  <c r="CK282" i="2"/>
  <c r="CL282" i="2"/>
  <c r="CM282" i="2"/>
  <c r="CN282" i="2"/>
  <c r="CO282" i="2"/>
  <c r="CP282" i="2"/>
  <c r="CQ282" i="2"/>
  <c r="CC283" i="2"/>
  <c r="CD283" i="2"/>
  <c r="CE283" i="2"/>
  <c r="CF283" i="2"/>
  <c r="CG283" i="2"/>
  <c r="CH283" i="2"/>
  <c r="CI283" i="2"/>
  <c r="CJ283" i="2"/>
  <c r="CK283" i="2"/>
  <c r="CL283" i="2"/>
  <c r="CM283" i="2"/>
  <c r="CN283" i="2"/>
  <c r="CO283" i="2"/>
  <c r="CP283" i="2"/>
  <c r="CQ283" i="2"/>
  <c r="CC284" i="2"/>
  <c r="CD284" i="2"/>
  <c r="CE284" i="2"/>
  <c r="CF284" i="2"/>
  <c r="CG284" i="2"/>
  <c r="CH284" i="2"/>
  <c r="CI284" i="2"/>
  <c r="CJ284" i="2"/>
  <c r="CK284" i="2"/>
  <c r="CL284" i="2"/>
  <c r="CM284" i="2"/>
  <c r="CN284" i="2"/>
  <c r="CO284" i="2"/>
  <c r="CP284" i="2"/>
  <c r="CQ284" i="2"/>
  <c r="CC285" i="2"/>
  <c r="CD285" i="2"/>
  <c r="CE285" i="2"/>
  <c r="CF285" i="2"/>
  <c r="CG285" i="2"/>
  <c r="CH285" i="2"/>
  <c r="CI285" i="2"/>
  <c r="CJ285" i="2"/>
  <c r="CK285" i="2"/>
  <c r="CL285" i="2"/>
  <c r="CM285" i="2"/>
  <c r="CN285" i="2"/>
  <c r="CO285" i="2"/>
  <c r="CP285" i="2"/>
  <c r="CQ285" i="2"/>
  <c r="CC286" i="2"/>
  <c r="CD286" i="2"/>
  <c r="CE286" i="2"/>
  <c r="CF286" i="2"/>
  <c r="CG286" i="2"/>
  <c r="CH286" i="2"/>
  <c r="CI286" i="2"/>
  <c r="CJ286" i="2"/>
  <c r="CK286" i="2"/>
  <c r="CL286" i="2"/>
  <c r="CM286" i="2"/>
  <c r="CN286" i="2"/>
  <c r="CO286" i="2"/>
  <c r="CP286" i="2"/>
  <c r="CQ286" i="2"/>
  <c r="CC287" i="2"/>
  <c r="CD287" i="2"/>
  <c r="CE287" i="2"/>
  <c r="CF287" i="2"/>
  <c r="CG287" i="2"/>
  <c r="CH287" i="2"/>
  <c r="CI287" i="2"/>
  <c r="CJ287" i="2"/>
  <c r="CK287" i="2"/>
  <c r="CL287" i="2"/>
  <c r="CM287" i="2"/>
  <c r="CN287" i="2"/>
  <c r="CO287" i="2"/>
  <c r="CP287" i="2"/>
  <c r="CQ287" i="2"/>
  <c r="CC288" i="2"/>
  <c r="CD288" i="2"/>
  <c r="CE288" i="2"/>
  <c r="CF288" i="2"/>
  <c r="CG288" i="2"/>
  <c r="CH288" i="2"/>
  <c r="CI288" i="2"/>
  <c r="CJ288" i="2"/>
  <c r="CK288" i="2"/>
  <c r="CL288" i="2"/>
  <c r="CM288" i="2"/>
  <c r="CN288" i="2"/>
  <c r="CO288" i="2"/>
  <c r="CP288" i="2"/>
  <c r="CQ288" i="2"/>
  <c r="CC289" i="2"/>
  <c r="CD289" i="2"/>
  <c r="CE289" i="2"/>
  <c r="CF289" i="2"/>
  <c r="CG289" i="2"/>
  <c r="CH289" i="2"/>
  <c r="CI289" i="2"/>
  <c r="CJ289" i="2"/>
  <c r="CK289" i="2"/>
  <c r="CL289" i="2"/>
  <c r="CM289" i="2"/>
  <c r="CN289" i="2"/>
  <c r="CO289" i="2"/>
  <c r="CP289" i="2"/>
  <c r="CQ289" i="2"/>
  <c r="CC290" i="2"/>
  <c r="CD290" i="2"/>
  <c r="CE290" i="2"/>
  <c r="CF290" i="2"/>
  <c r="CG290" i="2"/>
  <c r="CH290" i="2"/>
  <c r="CI290" i="2"/>
  <c r="CJ290" i="2"/>
  <c r="CK290" i="2"/>
  <c r="CL290" i="2"/>
  <c r="CM290" i="2"/>
  <c r="CN290" i="2"/>
  <c r="CO290" i="2"/>
  <c r="CP290" i="2"/>
  <c r="CQ290" i="2"/>
  <c r="CC291" i="2"/>
  <c r="CD291" i="2"/>
  <c r="CE291" i="2"/>
  <c r="CF291" i="2"/>
  <c r="CG291" i="2"/>
  <c r="CH291" i="2"/>
  <c r="CI291" i="2"/>
  <c r="CJ291" i="2"/>
  <c r="CK291" i="2"/>
  <c r="CL291" i="2"/>
  <c r="CM291" i="2"/>
  <c r="CN291" i="2"/>
  <c r="CO291" i="2"/>
  <c r="CP291" i="2"/>
  <c r="CQ291" i="2"/>
  <c r="CC292" i="2"/>
  <c r="CD292" i="2"/>
  <c r="CE292" i="2"/>
  <c r="CF292" i="2"/>
  <c r="CG292" i="2"/>
  <c r="CH292" i="2"/>
  <c r="CI292" i="2"/>
  <c r="CJ292" i="2"/>
  <c r="CK292" i="2"/>
  <c r="CL292" i="2"/>
  <c r="CM292" i="2"/>
  <c r="CN292" i="2"/>
  <c r="CO292" i="2"/>
  <c r="CP292" i="2"/>
  <c r="CQ292" i="2"/>
  <c r="CC293" i="2"/>
  <c r="CD293" i="2"/>
  <c r="CE293" i="2"/>
  <c r="CF293" i="2"/>
  <c r="CG293" i="2"/>
  <c r="CH293" i="2"/>
  <c r="CI293" i="2"/>
  <c r="CJ293" i="2"/>
  <c r="CK293" i="2"/>
  <c r="CL293" i="2"/>
  <c r="CM293" i="2"/>
  <c r="CN293" i="2"/>
  <c r="CO293" i="2"/>
  <c r="CP293" i="2"/>
  <c r="CQ293" i="2"/>
  <c r="CC294" i="2"/>
  <c r="CD294" i="2"/>
  <c r="CE294" i="2"/>
  <c r="CF294" i="2"/>
  <c r="CG294" i="2"/>
  <c r="CH294" i="2"/>
  <c r="CI294" i="2"/>
  <c r="CJ294" i="2"/>
  <c r="CK294" i="2"/>
  <c r="CL294" i="2"/>
  <c r="CM294" i="2"/>
  <c r="CN294" i="2"/>
  <c r="CO294" i="2"/>
  <c r="CP294" i="2"/>
  <c r="CQ294" i="2"/>
  <c r="CC295" i="2"/>
  <c r="CD295" i="2"/>
  <c r="CE295" i="2"/>
  <c r="CF295" i="2"/>
  <c r="CG295" i="2"/>
  <c r="CH295" i="2"/>
  <c r="CI295" i="2"/>
  <c r="CJ295" i="2"/>
  <c r="CK295" i="2"/>
  <c r="CL295" i="2"/>
  <c r="CM295" i="2"/>
  <c r="CN295" i="2"/>
  <c r="CO295" i="2"/>
  <c r="CP295" i="2"/>
  <c r="CQ295" i="2"/>
  <c r="CC296" i="2"/>
  <c r="CD296" i="2"/>
  <c r="CE296" i="2"/>
  <c r="CF296" i="2"/>
  <c r="CG296" i="2"/>
  <c r="CH296" i="2"/>
  <c r="CI296" i="2"/>
  <c r="CJ296" i="2"/>
  <c r="CK296" i="2"/>
  <c r="CL296" i="2"/>
  <c r="CM296" i="2"/>
  <c r="CN296" i="2"/>
  <c r="CO296" i="2"/>
  <c r="CP296" i="2"/>
  <c r="CQ296" i="2"/>
  <c r="CC297" i="2"/>
  <c r="CD297" i="2"/>
  <c r="CE297" i="2"/>
  <c r="CF297" i="2"/>
  <c r="CG297" i="2"/>
  <c r="CH297" i="2"/>
  <c r="CI297" i="2"/>
  <c r="CJ297" i="2"/>
  <c r="CK297" i="2"/>
  <c r="CL297" i="2"/>
  <c r="CM297" i="2"/>
  <c r="CN297" i="2"/>
  <c r="CO297" i="2"/>
  <c r="CP297" i="2"/>
  <c r="CQ297" i="2"/>
  <c r="CC298" i="2"/>
  <c r="CD298" i="2"/>
  <c r="CE298" i="2"/>
  <c r="CF298" i="2"/>
  <c r="CG298" i="2"/>
  <c r="CH298" i="2"/>
  <c r="CI298" i="2"/>
  <c r="CJ298" i="2"/>
  <c r="CK298" i="2"/>
  <c r="CL298" i="2"/>
  <c r="CM298" i="2"/>
  <c r="CN298" i="2"/>
  <c r="CO298" i="2"/>
  <c r="CP298" i="2"/>
  <c r="CQ298" i="2"/>
  <c r="CC299" i="2"/>
  <c r="CD299" i="2"/>
  <c r="CE299" i="2"/>
  <c r="CF299" i="2"/>
  <c r="CG299" i="2"/>
  <c r="CH299" i="2"/>
  <c r="CI299" i="2"/>
  <c r="CJ299" i="2"/>
  <c r="CK299" i="2"/>
  <c r="CL299" i="2"/>
  <c r="CM299" i="2"/>
  <c r="CN299" i="2"/>
  <c r="CO299" i="2"/>
  <c r="CP299" i="2"/>
  <c r="CQ299" i="2"/>
  <c r="CC300" i="2"/>
  <c r="CD300" i="2"/>
  <c r="CE300" i="2"/>
  <c r="CF300" i="2"/>
  <c r="CG300" i="2"/>
  <c r="CH300" i="2"/>
  <c r="CI300" i="2"/>
  <c r="CJ300" i="2"/>
  <c r="CK300" i="2"/>
  <c r="CL300" i="2"/>
  <c r="CM300" i="2"/>
  <c r="CN300" i="2"/>
  <c r="CO300" i="2"/>
  <c r="CP300" i="2"/>
  <c r="CQ300" i="2"/>
  <c r="CC301" i="2"/>
  <c r="CD301" i="2"/>
  <c r="CE301" i="2"/>
  <c r="CF301" i="2"/>
  <c r="CG301" i="2"/>
  <c r="CH301" i="2"/>
  <c r="CI301" i="2"/>
  <c r="CJ301" i="2"/>
  <c r="CK301" i="2"/>
  <c r="CL301" i="2"/>
  <c r="CM301" i="2"/>
  <c r="CN301" i="2"/>
  <c r="CO301" i="2"/>
  <c r="CP301" i="2"/>
  <c r="CQ301" i="2"/>
  <c r="CC302" i="2"/>
  <c r="CD302" i="2"/>
  <c r="CE302" i="2"/>
  <c r="CF302" i="2"/>
  <c r="CG302" i="2"/>
  <c r="CH302" i="2"/>
  <c r="CI302" i="2"/>
  <c r="CJ302" i="2"/>
  <c r="CK302" i="2"/>
  <c r="CL302" i="2"/>
  <c r="CM302" i="2"/>
  <c r="CN302" i="2"/>
  <c r="CO302" i="2"/>
  <c r="CP302" i="2"/>
  <c r="CQ302" i="2"/>
  <c r="CC303" i="2"/>
  <c r="CD303" i="2"/>
  <c r="CE303" i="2"/>
  <c r="CF303" i="2"/>
  <c r="CG303" i="2"/>
  <c r="CH303" i="2"/>
  <c r="CI303" i="2"/>
  <c r="CJ303" i="2"/>
  <c r="CK303" i="2"/>
  <c r="CL303" i="2"/>
  <c r="CM303" i="2"/>
  <c r="CN303" i="2"/>
  <c r="CO303" i="2"/>
  <c r="CP303" i="2"/>
  <c r="CQ303" i="2"/>
  <c r="CC304" i="2"/>
  <c r="CD304" i="2"/>
  <c r="CE304" i="2"/>
  <c r="CF304" i="2"/>
  <c r="CG304" i="2"/>
  <c r="CH304" i="2"/>
  <c r="CI304" i="2"/>
  <c r="CJ304" i="2"/>
  <c r="CK304" i="2"/>
  <c r="CL304" i="2"/>
  <c r="CM304" i="2"/>
  <c r="CN304" i="2"/>
  <c r="CO304" i="2"/>
  <c r="CP304" i="2"/>
  <c r="CQ304" i="2"/>
  <c r="CC305" i="2"/>
  <c r="CD305" i="2"/>
  <c r="CE305" i="2"/>
  <c r="CF305" i="2"/>
  <c r="CG305" i="2"/>
  <c r="CH305" i="2"/>
  <c r="CI305" i="2"/>
  <c r="CJ305" i="2"/>
  <c r="CK305" i="2"/>
  <c r="CL305" i="2"/>
  <c r="CM305" i="2"/>
  <c r="CN305" i="2"/>
  <c r="CO305" i="2"/>
  <c r="CP305" i="2"/>
  <c r="CQ305" i="2"/>
  <c r="CC306" i="2"/>
  <c r="CD306" i="2"/>
  <c r="CE306" i="2"/>
  <c r="CF306" i="2"/>
  <c r="CG306" i="2"/>
  <c r="CH306" i="2"/>
  <c r="CI306" i="2"/>
  <c r="CJ306" i="2"/>
  <c r="CK306" i="2"/>
  <c r="CL306" i="2"/>
  <c r="CM306" i="2"/>
  <c r="CN306" i="2"/>
  <c r="CO306" i="2"/>
  <c r="CP306" i="2"/>
  <c r="CQ306" i="2"/>
  <c r="CC307" i="2"/>
  <c r="CD307" i="2"/>
  <c r="CE307" i="2"/>
  <c r="CF307" i="2"/>
  <c r="CG307" i="2"/>
  <c r="CH307" i="2"/>
  <c r="CI307" i="2"/>
  <c r="CJ307" i="2"/>
  <c r="CK307" i="2"/>
  <c r="CL307" i="2"/>
  <c r="CM307" i="2"/>
  <c r="CN307" i="2"/>
  <c r="CO307" i="2"/>
  <c r="CP307" i="2"/>
  <c r="CQ307" i="2"/>
  <c r="CC308" i="2"/>
  <c r="CD308" i="2"/>
  <c r="CE308" i="2"/>
  <c r="CF308" i="2"/>
  <c r="CG308" i="2"/>
  <c r="CH308" i="2"/>
  <c r="CI308" i="2"/>
  <c r="CJ308" i="2"/>
  <c r="CK308" i="2"/>
  <c r="CL308" i="2"/>
  <c r="CM308" i="2"/>
  <c r="CN308" i="2"/>
  <c r="CO308" i="2"/>
  <c r="CP308" i="2"/>
  <c r="CQ308" i="2"/>
  <c r="CC309" i="2"/>
  <c r="CD309" i="2"/>
  <c r="CE309" i="2"/>
  <c r="CF309" i="2"/>
  <c r="CG309" i="2"/>
  <c r="CH309" i="2"/>
  <c r="CI309" i="2"/>
  <c r="CJ309" i="2"/>
  <c r="CK309" i="2"/>
  <c r="CL309" i="2"/>
  <c r="CM309" i="2"/>
  <c r="CN309" i="2"/>
  <c r="CO309" i="2"/>
  <c r="CP309" i="2"/>
  <c r="CQ309" i="2"/>
  <c r="CC310" i="2"/>
  <c r="CD310" i="2"/>
  <c r="CE310" i="2"/>
  <c r="CF310" i="2"/>
  <c r="CG310" i="2"/>
  <c r="CH310" i="2"/>
  <c r="CI310" i="2"/>
  <c r="CJ310" i="2"/>
  <c r="CK310" i="2"/>
  <c r="CL310" i="2"/>
  <c r="CM310" i="2"/>
  <c r="CN310" i="2"/>
  <c r="CO310" i="2"/>
  <c r="CP310" i="2"/>
  <c r="CQ310" i="2"/>
  <c r="CC311" i="2"/>
  <c r="CD311" i="2"/>
  <c r="CE311" i="2"/>
  <c r="CF311" i="2"/>
  <c r="CG311" i="2"/>
  <c r="CH311" i="2"/>
  <c r="CI311" i="2"/>
  <c r="CJ311" i="2"/>
  <c r="CK311" i="2"/>
  <c r="CL311" i="2"/>
  <c r="CM311" i="2"/>
  <c r="CN311" i="2"/>
  <c r="CO311" i="2"/>
  <c r="CP311" i="2"/>
  <c r="CQ311" i="2"/>
  <c r="CC312" i="2"/>
  <c r="CD312" i="2"/>
  <c r="CE312" i="2"/>
  <c r="CF312" i="2"/>
  <c r="CG312" i="2"/>
  <c r="CH312" i="2"/>
  <c r="CI312" i="2"/>
  <c r="CJ312" i="2"/>
  <c r="CK312" i="2"/>
  <c r="CL312" i="2"/>
  <c r="CM312" i="2"/>
  <c r="CN312" i="2"/>
  <c r="CO312" i="2"/>
  <c r="CP312" i="2"/>
  <c r="CQ312" i="2"/>
  <c r="CC313" i="2"/>
  <c r="CD313" i="2"/>
  <c r="CE313" i="2"/>
  <c r="CF313" i="2"/>
  <c r="CG313" i="2"/>
  <c r="CH313" i="2"/>
  <c r="CI313" i="2"/>
  <c r="CJ313" i="2"/>
  <c r="CK313" i="2"/>
  <c r="CL313" i="2"/>
  <c r="CM313" i="2"/>
  <c r="CN313" i="2"/>
  <c r="CO313" i="2"/>
  <c r="CP313" i="2"/>
  <c r="CQ313" i="2"/>
  <c r="CC314" i="2"/>
  <c r="CD314" i="2"/>
  <c r="CE314" i="2"/>
  <c r="CF314" i="2"/>
  <c r="CG314" i="2"/>
  <c r="CH314" i="2"/>
  <c r="CI314" i="2"/>
  <c r="CJ314" i="2"/>
  <c r="CK314" i="2"/>
  <c r="CL314" i="2"/>
  <c r="CM314" i="2"/>
  <c r="CN314" i="2"/>
  <c r="CO314" i="2"/>
  <c r="CP314" i="2"/>
  <c r="CQ314" i="2"/>
  <c r="CC315" i="2"/>
  <c r="CD315" i="2"/>
  <c r="CE315" i="2"/>
  <c r="CF315" i="2"/>
  <c r="CG315" i="2"/>
  <c r="CH315" i="2"/>
  <c r="CI315" i="2"/>
  <c r="CJ315" i="2"/>
  <c r="CK315" i="2"/>
  <c r="CL315" i="2"/>
  <c r="CM315" i="2"/>
  <c r="CN315" i="2"/>
  <c r="CO315" i="2"/>
  <c r="CP315" i="2"/>
  <c r="CQ315" i="2"/>
  <c r="CC316" i="2"/>
  <c r="CD316" i="2"/>
  <c r="CE316" i="2"/>
  <c r="CF316" i="2"/>
  <c r="CG316" i="2"/>
  <c r="CH316" i="2"/>
  <c r="CI316" i="2"/>
  <c r="CJ316" i="2"/>
  <c r="CK316" i="2"/>
  <c r="CL316" i="2"/>
  <c r="CM316" i="2"/>
  <c r="CN316" i="2"/>
  <c r="CO316" i="2"/>
  <c r="CP316" i="2"/>
  <c r="CQ316" i="2"/>
  <c r="CC317" i="2"/>
  <c r="CD317" i="2"/>
  <c r="CE317" i="2"/>
  <c r="CF317" i="2"/>
  <c r="CG317" i="2"/>
  <c r="CH317" i="2"/>
  <c r="CI317" i="2"/>
  <c r="CJ317" i="2"/>
  <c r="CK317" i="2"/>
  <c r="CL317" i="2"/>
  <c r="CM317" i="2"/>
  <c r="CN317" i="2"/>
  <c r="CO317" i="2"/>
  <c r="CP317" i="2"/>
  <c r="CQ317" i="2"/>
  <c r="CC318" i="2"/>
  <c r="CD318" i="2"/>
  <c r="CE318" i="2"/>
  <c r="CF318" i="2"/>
  <c r="CG318" i="2"/>
  <c r="CH318" i="2"/>
  <c r="CI318" i="2"/>
  <c r="CJ318" i="2"/>
  <c r="CK318" i="2"/>
  <c r="CL318" i="2"/>
  <c r="CM318" i="2"/>
  <c r="CN318" i="2"/>
  <c r="CO318" i="2"/>
  <c r="CP318" i="2"/>
  <c r="CQ318" i="2"/>
  <c r="CC319" i="2"/>
  <c r="CD319" i="2"/>
  <c r="CE319" i="2"/>
  <c r="CF319" i="2"/>
  <c r="CG319" i="2"/>
  <c r="CH319" i="2"/>
  <c r="CI319" i="2"/>
  <c r="CJ319" i="2"/>
  <c r="CK319" i="2"/>
  <c r="CL319" i="2"/>
  <c r="CM319" i="2"/>
  <c r="CN319" i="2"/>
  <c r="CO319" i="2"/>
  <c r="CP319" i="2"/>
  <c r="CQ319" i="2"/>
  <c r="CC320" i="2"/>
  <c r="CD320" i="2"/>
  <c r="CE320" i="2"/>
  <c r="CF320" i="2"/>
  <c r="CG320" i="2"/>
  <c r="CH320" i="2"/>
  <c r="CI320" i="2"/>
  <c r="CJ320" i="2"/>
  <c r="CK320" i="2"/>
  <c r="CL320" i="2"/>
  <c r="CM320" i="2"/>
  <c r="CN320" i="2"/>
  <c r="CO320" i="2"/>
  <c r="CP320" i="2"/>
  <c r="CQ320" i="2"/>
  <c r="CC321" i="2"/>
  <c r="CD321" i="2"/>
  <c r="CE321" i="2"/>
  <c r="CF321" i="2"/>
  <c r="CG321" i="2"/>
  <c r="CH321" i="2"/>
  <c r="CI321" i="2"/>
  <c r="CJ321" i="2"/>
  <c r="CK321" i="2"/>
  <c r="CL321" i="2"/>
  <c r="CM321" i="2"/>
  <c r="CN321" i="2"/>
  <c r="CO321" i="2"/>
  <c r="CP321" i="2"/>
  <c r="CQ321" i="2"/>
  <c r="CC322" i="2"/>
  <c r="CD322" i="2"/>
  <c r="CE322" i="2"/>
  <c r="CF322" i="2"/>
  <c r="CG322" i="2"/>
  <c r="CH322" i="2"/>
  <c r="CI322" i="2"/>
  <c r="CJ322" i="2"/>
  <c r="CK322" i="2"/>
  <c r="CL322" i="2"/>
  <c r="CM322" i="2"/>
  <c r="CN322" i="2"/>
  <c r="CO322" i="2"/>
  <c r="CP322" i="2"/>
  <c r="CQ322" i="2"/>
  <c r="CC323" i="2"/>
  <c r="CD323" i="2"/>
  <c r="CE323" i="2"/>
  <c r="CF323" i="2"/>
  <c r="CG323" i="2"/>
  <c r="CH323" i="2"/>
  <c r="CI323" i="2"/>
  <c r="CJ323" i="2"/>
  <c r="CK323" i="2"/>
  <c r="CL323" i="2"/>
  <c r="CM323" i="2"/>
  <c r="CN323" i="2"/>
  <c r="CO323" i="2"/>
  <c r="CP323" i="2"/>
  <c r="CQ323" i="2"/>
  <c r="CC324" i="2"/>
  <c r="CD324" i="2"/>
  <c r="CE324" i="2"/>
  <c r="CF324" i="2"/>
  <c r="CG324" i="2"/>
  <c r="CH324" i="2"/>
  <c r="CI324" i="2"/>
  <c r="CJ324" i="2"/>
  <c r="CK324" i="2"/>
  <c r="CL324" i="2"/>
  <c r="CM324" i="2"/>
  <c r="CN324" i="2"/>
  <c r="CO324" i="2"/>
  <c r="CP324" i="2"/>
  <c r="CQ324" i="2"/>
  <c r="CC325" i="2"/>
  <c r="CD325" i="2"/>
  <c r="CE325" i="2"/>
  <c r="CF325" i="2"/>
  <c r="CG325" i="2"/>
  <c r="CH325" i="2"/>
  <c r="CI325" i="2"/>
  <c r="CJ325" i="2"/>
  <c r="CK325" i="2"/>
  <c r="CL325" i="2"/>
  <c r="CM325" i="2"/>
  <c r="CN325" i="2"/>
  <c r="CO325" i="2"/>
  <c r="CP325" i="2"/>
  <c r="CQ325" i="2"/>
  <c r="CC326" i="2"/>
  <c r="CD326" i="2"/>
  <c r="CE326" i="2"/>
  <c r="CF326" i="2"/>
  <c r="CG326" i="2"/>
  <c r="CH326" i="2"/>
  <c r="CI326" i="2"/>
  <c r="CJ326" i="2"/>
  <c r="CK326" i="2"/>
  <c r="CL326" i="2"/>
  <c r="CM326" i="2"/>
  <c r="CN326" i="2"/>
  <c r="CO326" i="2"/>
  <c r="CP326" i="2"/>
  <c r="CQ326" i="2"/>
  <c r="CC327" i="2"/>
  <c r="CD327" i="2"/>
  <c r="CE327" i="2"/>
  <c r="CF327" i="2"/>
  <c r="CG327" i="2"/>
  <c r="CH327" i="2"/>
  <c r="CI327" i="2"/>
  <c r="CJ327" i="2"/>
  <c r="CK327" i="2"/>
  <c r="CL327" i="2"/>
  <c r="CM327" i="2"/>
  <c r="CN327" i="2"/>
  <c r="CO327" i="2"/>
  <c r="CP327" i="2"/>
  <c r="CQ327" i="2"/>
  <c r="CC328" i="2"/>
  <c r="CD328" i="2"/>
  <c r="CE328" i="2"/>
  <c r="CF328" i="2"/>
  <c r="CG328" i="2"/>
  <c r="CH328" i="2"/>
  <c r="CI328" i="2"/>
  <c r="CJ328" i="2"/>
  <c r="CK328" i="2"/>
  <c r="CL328" i="2"/>
  <c r="CM328" i="2"/>
  <c r="CN328" i="2"/>
  <c r="CO328" i="2"/>
  <c r="CP328" i="2"/>
  <c r="CQ328" i="2"/>
  <c r="CC329" i="2"/>
  <c r="CD329" i="2"/>
  <c r="CE329" i="2"/>
  <c r="CF329" i="2"/>
  <c r="CG329" i="2"/>
  <c r="CH329" i="2"/>
  <c r="CI329" i="2"/>
  <c r="CJ329" i="2"/>
  <c r="CK329" i="2"/>
  <c r="CL329" i="2"/>
  <c r="CM329" i="2"/>
  <c r="CN329" i="2"/>
  <c r="CO329" i="2"/>
  <c r="CP329" i="2"/>
  <c r="CQ329" i="2"/>
  <c r="CC330" i="2"/>
  <c r="CD330" i="2"/>
  <c r="CE330" i="2"/>
  <c r="CF330" i="2"/>
  <c r="CG330" i="2"/>
  <c r="CH330" i="2"/>
  <c r="CI330" i="2"/>
  <c r="CJ330" i="2"/>
  <c r="CK330" i="2"/>
  <c r="CL330" i="2"/>
  <c r="CM330" i="2"/>
  <c r="CN330" i="2"/>
  <c r="CO330" i="2"/>
  <c r="CP330" i="2"/>
  <c r="CQ330" i="2"/>
  <c r="CC331" i="2"/>
  <c r="CD331" i="2"/>
  <c r="CE331" i="2"/>
  <c r="CF331" i="2"/>
  <c r="CG331" i="2"/>
  <c r="CH331" i="2"/>
  <c r="CI331" i="2"/>
  <c r="CJ331" i="2"/>
  <c r="CK331" i="2"/>
  <c r="CL331" i="2"/>
  <c r="CM331" i="2"/>
  <c r="CN331" i="2"/>
  <c r="CO331" i="2"/>
  <c r="CP331" i="2"/>
  <c r="CQ331" i="2"/>
  <c r="CC332" i="2"/>
  <c r="CD332" i="2"/>
  <c r="CE332" i="2"/>
  <c r="CF332" i="2"/>
  <c r="CG332" i="2"/>
  <c r="CH332" i="2"/>
  <c r="CI332" i="2"/>
  <c r="CJ332" i="2"/>
  <c r="CK332" i="2"/>
  <c r="CL332" i="2"/>
  <c r="CM332" i="2"/>
  <c r="CN332" i="2"/>
  <c r="CO332" i="2"/>
  <c r="CP332" i="2"/>
  <c r="CQ332" i="2"/>
  <c r="CC333" i="2"/>
  <c r="CD333" i="2"/>
  <c r="CE333" i="2"/>
  <c r="CF333" i="2"/>
  <c r="CG333" i="2"/>
  <c r="CH333" i="2"/>
  <c r="CI333" i="2"/>
  <c r="CJ333" i="2"/>
  <c r="CK333" i="2"/>
  <c r="CL333" i="2"/>
  <c r="CM333" i="2"/>
  <c r="CN333" i="2"/>
  <c r="CO333" i="2"/>
  <c r="CP333" i="2"/>
  <c r="CQ333" i="2"/>
  <c r="CC334" i="2"/>
  <c r="CD334" i="2"/>
  <c r="CE334" i="2"/>
  <c r="CF334" i="2"/>
  <c r="CG334" i="2"/>
  <c r="CH334" i="2"/>
  <c r="CI334" i="2"/>
  <c r="CJ334" i="2"/>
  <c r="CK334" i="2"/>
  <c r="CL334" i="2"/>
  <c r="CM334" i="2"/>
  <c r="CN334" i="2"/>
  <c r="CO334" i="2"/>
  <c r="CP334" i="2"/>
  <c r="CQ334" i="2"/>
  <c r="CC335" i="2"/>
  <c r="CD335" i="2"/>
  <c r="CE335" i="2"/>
  <c r="CF335" i="2"/>
  <c r="CG335" i="2"/>
  <c r="CH335" i="2"/>
  <c r="CI335" i="2"/>
  <c r="CJ335" i="2"/>
  <c r="CK335" i="2"/>
  <c r="CL335" i="2"/>
  <c r="CM335" i="2"/>
  <c r="CN335" i="2"/>
  <c r="CO335" i="2"/>
  <c r="CP335" i="2"/>
  <c r="CQ335" i="2"/>
  <c r="CC336" i="2"/>
  <c r="CD336" i="2"/>
  <c r="CE336" i="2"/>
  <c r="CF336" i="2"/>
  <c r="CG336" i="2"/>
  <c r="CH336" i="2"/>
  <c r="CI336" i="2"/>
  <c r="CJ336" i="2"/>
  <c r="CK336" i="2"/>
  <c r="CL336" i="2"/>
  <c r="CM336" i="2"/>
  <c r="CN336" i="2"/>
  <c r="CO336" i="2"/>
  <c r="CP336" i="2"/>
  <c r="CQ336" i="2"/>
  <c r="CC337" i="2"/>
  <c r="CD337" i="2"/>
  <c r="CE337" i="2"/>
  <c r="CF337" i="2"/>
  <c r="CG337" i="2"/>
  <c r="CH337" i="2"/>
  <c r="CI337" i="2"/>
  <c r="CJ337" i="2"/>
  <c r="CK337" i="2"/>
  <c r="CL337" i="2"/>
  <c r="CM337" i="2"/>
  <c r="CN337" i="2"/>
  <c r="CO337" i="2"/>
  <c r="CP337" i="2"/>
  <c r="CQ337" i="2"/>
  <c r="CC338" i="2"/>
  <c r="CD338" i="2"/>
  <c r="CE338" i="2"/>
  <c r="CF338" i="2"/>
  <c r="CG338" i="2"/>
  <c r="CH338" i="2"/>
  <c r="CI338" i="2"/>
  <c r="CJ338" i="2"/>
  <c r="CK338" i="2"/>
  <c r="CL338" i="2"/>
  <c r="CM338" i="2"/>
  <c r="CN338" i="2"/>
  <c r="CO338" i="2"/>
  <c r="CP338" i="2"/>
  <c r="CQ338" i="2"/>
  <c r="CC339" i="2"/>
  <c r="CD339" i="2"/>
  <c r="CE339" i="2"/>
  <c r="CF339" i="2"/>
  <c r="CG339" i="2"/>
  <c r="CH339" i="2"/>
  <c r="CI339" i="2"/>
  <c r="CJ339" i="2"/>
  <c r="CK339" i="2"/>
  <c r="CL339" i="2"/>
  <c r="CM339" i="2"/>
  <c r="CN339" i="2"/>
  <c r="CO339" i="2"/>
  <c r="CP339" i="2"/>
  <c r="CQ339" i="2"/>
  <c r="CC340" i="2"/>
  <c r="CD340" i="2"/>
  <c r="CE340" i="2"/>
  <c r="CF340" i="2"/>
  <c r="CG340" i="2"/>
  <c r="CH340" i="2"/>
  <c r="CI340" i="2"/>
  <c r="CJ340" i="2"/>
  <c r="CK340" i="2"/>
  <c r="CL340" i="2"/>
  <c r="CM340" i="2"/>
  <c r="CN340" i="2"/>
  <c r="CO340" i="2"/>
  <c r="CP340" i="2"/>
  <c r="CQ340" i="2"/>
  <c r="CC341" i="2"/>
  <c r="CD341" i="2"/>
  <c r="CE341" i="2"/>
  <c r="CF341" i="2"/>
  <c r="CG341" i="2"/>
  <c r="CH341" i="2"/>
  <c r="CI341" i="2"/>
  <c r="CJ341" i="2"/>
  <c r="CK341" i="2"/>
  <c r="CL341" i="2"/>
  <c r="CM341" i="2"/>
  <c r="CN341" i="2"/>
  <c r="CO341" i="2"/>
  <c r="CP341" i="2"/>
  <c r="CQ341" i="2"/>
  <c r="CC342" i="2"/>
  <c r="CD342" i="2"/>
  <c r="CE342" i="2"/>
  <c r="CF342" i="2"/>
  <c r="CG342" i="2"/>
  <c r="CH342" i="2"/>
  <c r="CI342" i="2"/>
  <c r="CJ342" i="2"/>
  <c r="CK342" i="2"/>
  <c r="CL342" i="2"/>
  <c r="CM342" i="2"/>
  <c r="CN342" i="2"/>
  <c r="CO342" i="2"/>
  <c r="CP342" i="2"/>
  <c r="CQ342" i="2"/>
  <c r="CC343" i="2"/>
  <c r="CD343" i="2"/>
  <c r="CE343" i="2"/>
  <c r="CF343" i="2"/>
  <c r="CG343" i="2"/>
  <c r="CH343" i="2"/>
  <c r="CI343" i="2"/>
  <c r="CJ343" i="2"/>
  <c r="CK343" i="2"/>
  <c r="CL343" i="2"/>
  <c r="CM343" i="2"/>
  <c r="CN343" i="2"/>
  <c r="CO343" i="2"/>
  <c r="CP343" i="2"/>
  <c r="CQ343" i="2"/>
  <c r="CC344" i="2"/>
  <c r="CD344" i="2"/>
  <c r="CE344" i="2"/>
  <c r="CF344" i="2"/>
  <c r="CG344" i="2"/>
  <c r="CH344" i="2"/>
  <c r="CI344" i="2"/>
  <c r="CJ344" i="2"/>
  <c r="CK344" i="2"/>
  <c r="CL344" i="2"/>
  <c r="CM344" i="2"/>
  <c r="CN344" i="2"/>
  <c r="CO344" i="2"/>
  <c r="CP344" i="2"/>
  <c r="CQ344" i="2"/>
  <c r="CC345" i="2"/>
  <c r="CD345" i="2"/>
  <c r="CE345" i="2"/>
  <c r="CF345" i="2"/>
  <c r="CG345" i="2"/>
  <c r="CH345" i="2"/>
  <c r="CI345" i="2"/>
  <c r="CJ345" i="2"/>
  <c r="CK345" i="2"/>
  <c r="CL345" i="2"/>
  <c r="CM345" i="2"/>
  <c r="CN345" i="2"/>
  <c r="CO345" i="2"/>
  <c r="CP345" i="2"/>
  <c r="CQ345" i="2"/>
  <c r="CC346" i="2"/>
  <c r="CD346" i="2"/>
  <c r="CE346" i="2"/>
  <c r="CF346" i="2"/>
  <c r="CG346" i="2"/>
  <c r="CH346" i="2"/>
  <c r="CI346" i="2"/>
  <c r="CJ346" i="2"/>
  <c r="CK346" i="2"/>
  <c r="CL346" i="2"/>
  <c r="CM346" i="2"/>
  <c r="CN346" i="2"/>
  <c r="CO346" i="2"/>
  <c r="CP346" i="2"/>
  <c r="CQ346" i="2"/>
  <c r="CC347" i="2"/>
  <c r="CD347" i="2"/>
  <c r="CE347" i="2"/>
  <c r="CF347" i="2"/>
  <c r="CG347" i="2"/>
  <c r="CH347" i="2"/>
  <c r="CI347" i="2"/>
  <c r="CJ347" i="2"/>
  <c r="CK347" i="2"/>
  <c r="CL347" i="2"/>
  <c r="CM347" i="2"/>
  <c r="CN347" i="2"/>
  <c r="CO347" i="2"/>
  <c r="CP347" i="2"/>
  <c r="CQ347" i="2"/>
  <c r="CC348" i="2"/>
  <c r="CD348" i="2"/>
  <c r="CE348" i="2"/>
  <c r="CF348" i="2"/>
  <c r="CG348" i="2"/>
  <c r="CH348" i="2"/>
  <c r="CI348" i="2"/>
  <c r="CJ348" i="2"/>
  <c r="CK348" i="2"/>
  <c r="CL348" i="2"/>
  <c r="CM348" i="2"/>
  <c r="CN348" i="2"/>
  <c r="CO348" i="2"/>
  <c r="CP348" i="2"/>
  <c r="CQ348" i="2"/>
  <c r="CC349" i="2"/>
  <c r="CD349" i="2"/>
  <c r="CE349" i="2"/>
  <c r="CF349" i="2"/>
  <c r="CG349" i="2"/>
  <c r="CH349" i="2"/>
  <c r="CI349" i="2"/>
  <c r="CJ349" i="2"/>
  <c r="CK349" i="2"/>
  <c r="CL349" i="2"/>
  <c r="CM349" i="2"/>
  <c r="CN349" i="2"/>
  <c r="CO349" i="2"/>
  <c r="CP349" i="2"/>
  <c r="CQ349" i="2"/>
  <c r="CC350" i="2"/>
  <c r="CD350" i="2"/>
  <c r="CE350" i="2"/>
  <c r="CF350" i="2"/>
  <c r="CG350" i="2"/>
  <c r="CH350" i="2"/>
  <c r="CI350" i="2"/>
  <c r="CJ350" i="2"/>
  <c r="CK350" i="2"/>
  <c r="CL350" i="2"/>
  <c r="CM350" i="2"/>
  <c r="CN350" i="2"/>
  <c r="CO350" i="2"/>
  <c r="CP350" i="2"/>
  <c r="CQ350" i="2"/>
  <c r="CC351" i="2"/>
  <c r="CD351" i="2"/>
  <c r="CE351" i="2"/>
  <c r="CF351" i="2"/>
  <c r="CG351" i="2"/>
  <c r="CH351" i="2"/>
  <c r="CI351" i="2"/>
  <c r="CJ351" i="2"/>
  <c r="CK351" i="2"/>
  <c r="CL351" i="2"/>
  <c r="CM351" i="2"/>
  <c r="CN351" i="2"/>
  <c r="CO351" i="2"/>
  <c r="CP351" i="2"/>
  <c r="CQ351" i="2"/>
  <c r="CC352" i="2"/>
  <c r="CD352" i="2"/>
  <c r="CE352" i="2"/>
  <c r="CF352" i="2"/>
  <c r="CG352" i="2"/>
  <c r="CH352" i="2"/>
  <c r="CI352" i="2"/>
  <c r="CJ352" i="2"/>
  <c r="CK352" i="2"/>
  <c r="CL352" i="2"/>
  <c r="CM352" i="2"/>
  <c r="CN352" i="2"/>
  <c r="CO352" i="2"/>
  <c r="CP352" i="2"/>
  <c r="CQ352" i="2"/>
  <c r="CC353" i="2"/>
  <c r="CD353" i="2"/>
  <c r="CE353" i="2"/>
  <c r="CF353" i="2"/>
  <c r="CG353" i="2"/>
  <c r="CH353" i="2"/>
  <c r="CI353" i="2"/>
  <c r="CJ353" i="2"/>
  <c r="CK353" i="2"/>
  <c r="CL353" i="2"/>
  <c r="CM353" i="2"/>
  <c r="CN353" i="2"/>
  <c r="CO353" i="2"/>
  <c r="CP353" i="2"/>
  <c r="CQ353" i="2"/>
  <c r="CC354" i="2"/>
  <c r="CD354" i="2"/>
  <c r="CE354" i="2"/>
  <c r="CF354" i="2"/>
  <c r="CG354" i="2"/>
  <c r="CH354" i="2"/>
  <c r="CI354" i="2"/>
  <c r="CJ354" i="2"/>
  <c r="CK354" i="2"/>
  <c r="CL354" i="2"/>
  <c r="CM354" i="2"/>
  <c r="CN354" i="2"/>
  <c r="CO354" i="2"/>
  <c r="CP354" i="2"/>
  <c r="CQ354" i="2"/>
  <c r="CC355" i="2"/>
  <c r="CD355" i="2"/>
  <c r="CE355" i="2"/>
  <c r="CF355" i="2"/>
  <c r="CG355" i="2"/>
  <c r="CH355" i="2"/>
  <c r="CI355" i="2"/>
  <c r="CJ355" i="2"/>
  <c r="CK355" i="2"/>
  <c r="CL355" i="2"/>
  <c r="CM355" i="2"/>
  <c r="CN355" i="2"/>
  <c r="CO355" i="2"/>
  <c r="CP355" i="2"/>
  <c r="CQ355" i="2"/>
  <c r="CC356" i="2"/>
  <c r="CD356" i="2"/>
  <c r="CE356" i="2"/>
  <c r="CF356" i="2"/>
  <c r="CG356" i="2"/>
  <c r="CH356" i="2"/>
  <c r="CI356" i="2"/>
  <c r="CJ356" i="2"/>
  <c r="CK356" i="2"/>
  <c r="CL356" i="2"/>
  <c r="CM356" i="2"/>
  <c r="CN356" i="2"/>
  <c r="CO356" i="2"/>
  <c r="CP356" i="2"/>
  <c r="CQ356" i="2"/>
  <c r="CC357" i="2"/>
  <c r="CD357" i="2"/>
  <c r="CE357" i="2"/>
  <c r="CF357" i="2"/>
  <c r="CG357" i="2"/>
  <c r="CH357" i="2"/>
  <c r="CI357" i="2"/>
  <c r="CJ357" i="2"/>
  <c r="CK357" i="2"/>
  <c r="CL357" i="2"/>
  <c r="CM357" i="2"/>
  <c r="CN357" i="2"/>
  <c r="CO357" i="2"/>
  <c r="CP357" i="2"/>
  <c r="CQ357" i="2"/>
  <c r="CC358" i="2"/>
  <c r="CD358" i="2"/>
  <c r="CE358" i="2"/>
  <c r="CF358" i="2"/>
  <c r="CG358" i="2"/>
  <c r="CH358" i="2"/>
  <c r="CI358" i="2"/>
  <c r="CJ358" i="2"/>
  <c r="CK358" i="2"/>
  <c r="CL358" i="2"/>
  <c r="CM358" i="2"/>
  <c r="CN358" i="2"/>
  <c r="CO358" i="2"/>
  <c r="CP358" i="2"/>
  <c r="CQ358" i="2"/>
  <c r="CC359" i="2"/>
  <c r="CD359" i="2"/>
  <c r="CE359" i="2"/>
  <c r="CF359" i="2"/>
  <c r="CG359" i="2"/>
  <c r="CH359" i="2"/>
  <c r="CI359" i="2"/>
  <c r="CJ359" i="2"/>
  <c r="CK359" i="2"/>
  <c r="CL359" i="2"/>
  <c r="CM359" i="2"/>
  <c r="CN359" i="2"/>
  <c r="CO359" i="2"/>
  <c r="CP359" i="2"/>
  <c r="CQ359" i="2"/>
  <c r="CC360" i="2"/>
  <c r="CD360" i="2"/>
  <c r="CE360" i="2"/>
  <c r="CF360" i="2"/>
  <c r="CG360" i="2"/>
  <c r="CH360" i="2"/>
  <c r="CI360" i="2"/>
  <c r="CJ360" i="2"/>
  <c r="CK360" i="2"/>
  <c r="CL360" i="2"/>
  <c r="CM360" i="2"/>
  <c r="CN360" i="2"/>
  <c r="CO360" i="2"/>
  <c r="CP360" i="2"/>
  <c r="CQ360" i="2"/>
  <c r="CC361" i="2"/>
  <c r="CD361" i="2"/>
  <c r="CE361" i="2"/>
  <c r="CF361" i="2"/>
  <c r="CG361" i="2"/>
  <c r="CH361" i="2"/>
  <c r="CI361" i="2"/>
  <c r="CJ361" i="2"/>
  <c r="CK361" i="2"/>
  <c r="CL361" i="2"/>
  <c r="CM361" i="2"/>
  <c r="CN361" i="2"/>
  <c r="CO361" i="2"/>
  <c r="CP361" i="2"/>
  <c r="CQ361" i="2"/>
  <c r="CC362" i="2"/>
  <c r="CD362" i="2"/>
  <c r="CE362" i="2"/>
  <c r="CF362" i="2"/>
  <c r="CG362" i="2"/>
  <c r="CH362" i="2"/>
  <c r="CI362" i="2"/>
  <c r="CJ362" i="2"/>
  <c r="CK362" i="2"/>
  <c r="CL362" i="2"/>
  <c r="CM362" i="2"/>
  <c r="CN362" i="2"/>
  <c r="CO362" i="2"/>
  <c r="CP362" i="2"/>
  <c r="CQ362" i="2"/>
  <c r="CC363" i="2"/>
  <c r="CD363" i="2"/>
  <c r="CE363" i="2"/>
  <c r="CF363" i="2"/>
  <c r="CG363" i="2"/>
  <c r="CH363" i="2"/>
  <c r="CI363" i="2"/>
  <c r="CJ363" i="2"/>
  <c r="CK363" i="2"/>
  <c r="CL363" i="2"/>
  <c r="CM363" i="2"/>
  <c r="CN363" i="2"/>
  <c r="CO363" i="2"/>
  <c r="CP363" i="2"/>
  <c r="CQ363" i="2"/>
  <c r="CC364" i="2"/>
  <c r="CD364" i="2"/>
  <c r="CE364" i="2"/>
  <c r="CF364" i="2"/>
  <c r="CG364" i="2"/>
  <c r="CH364" i="2"/>
  <c r="CI364" i="2"/>
  <c r="CJ364" i="2"/>
  <c r="CK364" i="2"/>
  <c r="CL364" i="2"/>
  <c r="CM364" i="2"/>
  <c r="CN364" i="2"/>
  <c r="CO364" i="2"/>
  <c r="CP364" i="2"/>
  <c r="CQ364" i="2"/>
  <c r="CC365" i="2"/>
  <c r="CD365" i="2"/>
  <c r="CE365" i="2"/>
  <c r="CF365" i="2"/>
  <c r="CG365" i="2"/>
  <c r="CH365" i="2"/>
  <c r="CI365" i="2"/>
  <c r="CJ365" i="2"/>
  <c r="CK365" i="2"/>
  <c r="CL365" i="2"/>
  <c r="CM365" i="2"/>
  <c r="CN365" i="2"/>
  <c r="CO365" i="2"/>
  <c r="CP365" i="2"/>
  <c r="CQ365" i="2"/>
  <c r="CC366" i="2"/>
  <c r="CD366" i="2"/>
  <c r="CE366" i="2"/>
  <c r="CF366" i="2"/>
  <c r="CG366" i="2"/>
  <c r="CH366" i="2"/>
  <c r="CI366" i="2"/>
  <c r="CJ366" i="2"/>
  <c r="CK366" i="2"/>
  <c r="CL366" i="2"/>
  <c r="CM366" i="2"/>
  <c r="CN366" i="2"/>
  <c r="CO366" i="2"/>
  <c r="CP366" i="2"/>
  <c r="CQ366" i="2"/>
  <c r="CC367" i="2"/>
  <c r="CD367" i="2"/>
  <c r="CE367" i="2"/>
  <c r="CF367" i="2"/>
  <c r="CG367" i="2"/>
  <c r="CH367" i="2"/>
  <c r="CI367" i="2"/>
  <c r="CJ367" i="2"/>
  <c r="CK367" i="2"/>
  <c r="CL367" i="2"/>
  <c r="CM367" i="2"/>
  <c r="CN367" i="2"/>
  <c r="CO367" i="2"/>
  <c r="CP367" i="2"/>
  <c r="CQ367" i="2"/>
  <c r="CC368" i="2"/>
  <c r="CD368" i="2"/>
  <c r="CE368" i="2"/>
  <c r="CF368" i="2"/>
  <c r="CG368" i="2"/>
  <c r="CH368" i="2"/>
  <c r="CI368" i="2"/>
  <c r="CJ368" i="2"/>
  <c r="CK368" i="2"/>
  <c r="CL368" i="2"/>
  <c r="CM368" i="2"/>
  <c r="CN368" i="2"/>
  <c r="CO368" i="2"/>
  <c r="CP368" i="2"/>
  <c r="CQ368" i="2"/>
  <c r="CC369" i="2"/>
  <c r="CD369" i="2"/>
  <c r="CE369" i="2"/>
  <c r="CF369" i="2"/>
  <c r="CG369" i="2"/>
  <c r="CH369" i="2"/>
  <c r="CI369" i="2"/>
  <c r="CJ369" i="2"/>
  <c r="CK369" i="2"/>
  <c r="CL369" i="2"/>
  <c r="CM369" i="2"/>
  <c r="CN369" i="2"/>
  <c r="CO369" i="2"/>
  <c r="CP369" i="2"/>
  <c r="CQ369" i="2"/>
  <c r="CC370" i="2"/>
  <c r="CD370" i="2"/>
  <c r="CE370" i="2"/>
  <c r="CF370" i="2"/>
  <c r="CG370" i="2"/>
  <c r="CH370" i="2"/>
  <c r="CI370" i="2"/>
  <c r="CJ370" i="2"/>
  <c r="CK370" i="2"/>
  <c r="CL370" i="2"/>
  <c r="CM370" i="2"/>
  <c r="CN370" i="2"/>
  <c r="CO370" i="2"/>
  <c r="CP370" i="2"/>
  <c r="CQ370" i="2"/>
  <c r="CC371" i="2"/>
  <c r="CD371" i="2"/>
  <c r="CE371" i="2"/>
  <c r="CF371" i="2"/>
  <c r="CG371" i="2"/>
  <c r="CH371" i="2"/>
  <c r="CI371" i="2"/>
  <c r="CJ371" i="2"/>
  <c r="CK371" i="2"/>
  <c r="CL371" i="2"/>
  <c r="CM371" i="2"/>
  <c r="CN371" i="2"/>
  <c r="CO371" i="2"/>
  <c r="CP371" i="2"/>
  <c r="CQ371" i="2"/>
  <c r="CC372" i="2"/>
  <c r="CD372" i="2"/>
  <c r="CE372" i="2"/>
  <c r="CF372" i="2"/>
  <c r="CG372" i="2"/>
  <c r="CH372" i="2"/>
  <c r="CI372" i="2"/>
  <c r="CJ372" i="2"/>
  <c r="CK372" i="2"/>
  <c r="CL372" i="2"/>
  <c r="CM372" i="2"/>
  <c r="CN372" i="2"/>
  <c r="CO372" i="2"/>
  <c r="CP372" i="2"/>
  <c r="CQ372" i="2"/>
  <c r="CC373" i="2"/>
  <c r="CD373" i="2"/>
  <c r="CE373" i="2"/>
  <c r="CF373" i="2"/>
  <c r="CG373" i="2"/>
  <c r="CH373" i="2"/>
  <c r="CI373" i="2"/>
  <c r="CJ373" i="2"/>
  <c r="CK373" i="2"/>
  <c r="CL373" i="2"/>
  <c r="CM373" i="2"/>
  <c r="CN373" i="2"/>
  <c r="CO373" i="2"/>
  <c r="CP373" i="2"/>
  <c r="CQ373" i="2"/>
  <c r="CC374" i="2"/>
  <c r="CD374" i="2"/>
  <c r="CE374" i="2"/>
  <c r="CF374" i="2"/>
  <c r="CG374" i="2"/>
  <c r="CH374" i="2"/>
  <c r="CI374" i="2"/>
  <c r="CJ374" i="2"/>
  <c r="CK374" i="2"/>
  <c r="CL374" i="2"/>
  <c r="CM374" i="2"/>
  <c r="CN374" i="2"/>
  <c r="CO374" i="2"/>
  <c r="CP374" i="2"/>
  <c r="CQ374" i="2"/>
  <c r="CC375" i="2"/>
  <c r="CD375" i="2"/>
  <c r="CE375" i="2"/>
  <c r="CF375" i="2"/>
  <c r="CG375" i="2"/>
  <c r="CH375" i="2"/>
  <c r="CI375" i="2"/>
  <c r="CJ375" i="2"/>
  <c r="CK375" i="2"/>
  <c r="CL375" i="2"/>
  <c r="CM375" i="2"/>
  <c r="CN375" i="2"/>
  <c r="CO375" i="2"/>
  <c r="CP375" i="2"/>
  <c r="CQ375" i="2"/>
  <c r="CC376" i="2"/>
  <c r="CD376" i="2"/>
  <c r="CE376" i="2"/>
  <c r="CF376" i="2"/>
  <c r="CG376" i="2"/>
  <c r="CH376" i="2"/>
  <c r="CI376" i="2"/>
  <c r="CJ376" i="2"/>
  <c r="CK376" i="2"/>
  <c r="CL376" i="2"/>
  <c r="CM376" i="2"/>
  <c r="CN376" i="2"/>
  <c r="CO376" i="2"/>
  <c r="CP376" i="2"/>
  <c r="CQ376" i="2"/>
  <c r="CC377" i="2"/>
  <c r="CD377" i="2"/>
  <c r="CE377" i="2"/>
  <c r="CF377" i="2"/>
  <c r="CG377" i="2"/>
  <c r="CH377" i="2"/>
  <c r="CI377" i="2"/>
  <c r="CJ377" i="2"/>
  <c r="CK377" i="2"/>
  <c r="CL377" i="2"/>
  <c r="CM377" i="2"/>
  <c r="CN377" i="2"/>
  <c r="CO377" i="2"/>
  <c r="CP377" i="2"/>
  <c r="CQ377" i="2"/>
  <c r="CC378" i="2"/>
  <c r="CD378" i="2"/>
  <c r="CE378" i="2"/>
  <c r="CF378" i="2"/>
  <c r="CG378" i="2"/>
  <c r="CH378" i="2"/>
  <c r="CI378" i="2"/>
  <c r="CJ378" i="2"/>
  <c r="CK378" i="2"/>
  <c r="CL378" i="2"/>
  <c r="CM378" i="2"/>
  <c r="CN378" i="2"/>
  <c r="CO378" i="2"/>
  <c r="CP378" i="2"/>
  <c r="CQ378" i="2"/>
  <c r="CC379" i="2"/>
  <c r="CD379" i="2"/>
  <c r="CE379" i="2"/>
  <c r="CF379" i="2"/>
  <c r="CG379" i="2"/>
  <c r="CH379" i="2"/>
  <c r="CI379" i="2"/>
  <c r="CJ379" i="2"/>
  <c r="CK379" i="2"/>
  <c r="CL379" i="2"/>
  <c r="CM379" i="2"/>
  <c r="CN379" i="2"/>
  <c r="CO379" i="2"/>
  <c r="CP379" i="2"/>
  <c r="CQ379" i="2"/>
  <c r="CC380" i="2"/>
  <c r="CD380" i="2"/>
  <c r="CE380" i="2"/>
  <c r="CF380" i="2"/>
  <c r="CG380" i="2"/>
  <c r="CH380" i="2"/>
  <c r="CI380" i="2"/>
  <c r="CJ380" i="2"/>
  <c r="CK380" i="2"/>
  <c r="CL380" i="2"/>
  <c r="CM380" i="2"/>
  <c r="CN380" i="2"/>
  <c r="CO380" i="2"/>
  <c r="CP380" i="2"/>
  <c r="CQ380" i="2"/>
  <c r="CC381" i="2"/>
  <c r="CD381" i="2"/>
  <c r="CE381" i="2"/>
  <c r="CF381" i="2"/>
  <c r="CG381" i="2"/>
  <c r="CH381" i="2"/>
  <c r="CI381" i="2"/>
  <c r="CJ381" i="2"/>
  <c r="CK381" i="2"/>
  <c r="CL381" i="2"/>
  <c r="CM381" i="2"/>
  <c r="CN381" i="2"/>
  <c r="CO381" i="2"/>
  <c r="CP381" i="2"/>
  <c r="CQ381" i="2"/>
  <c r="CC382" i="2"/>
  <c r="CD382" i="2"/>
  <c r="CE382" i="2"/>
  <c r="CF382" i="2"/>
  <c r="CG382" i="2"/>
  <c r="CH382" i="2"/>
  <c r="CI382" i="2"/>
  <c r="CJ382" i="2"/>
  <c r="CK382" i="2"/>
  <c r="CL382" i="2"/>
  <c r="CM382" i="2"/>
  <c r="CN382" i="2"/>
  <c r="CO382" i="2"/>
  <c r="CP382" i="2"/>
  <c r="CQ382" i="2"/>
  <c r="CC383" i="2"/>
  <c r="CD383" i="2"/>
  <c r="CE383" i="2"/>
  <c r="CF383" i="2"/>
  <c r="CG383" i="2"/>
  <c r="CH383" i="2"/>
  <c r="CI383" i="2"/>
  <c r="CJ383" i="2"/>
  <c r="CK383" i="2"/>
  <c r="CL383" i="2"/>
  <c r="CM383" i="2"/>
  <c r="CN383" i="2"/>
  <c r="CO383" i="2"/>
  <c r="CP383" i="2"/>
  <c r="CQ383" i="2"/>
  <c r="CC384" i="2"/>
  <c r="CD384" i="2"/>
  <c r="CE384" i="2"/>
  <c r="CF384" i="2"/>
  <c r="CG384" i="2"/>
  <c r="CH384" i="2"/>
  <c r="CI384" i="2"/>
  <c r="CJ384" i="2"/>
  <c r="CK384" i="2"/>
  <c r="CL384" i="2"/>
  <c r="CM384" i="2"/>
  <c r="CN384" i="2"/>
  <c r="CO384" i="2"/>
  <c r="CP384" i="2"/>
  <c r="CQ384" i="2"/>
  <c r="CC385" i="2"/>
  <c r="CD385" i="2"/>
  <c r="CE385" i="2"/>
  <c r="CF385" i="2"/>
  <c r="CG385" i="2"/>
  <c r="CH385" i="2"/>
  <c r="CI385" i="2"/>
  <c r="CJ385" i="2"/>
  <c r="CK385" i="2"/>
  <c r="CL385" i="2"/>
  <c r="CM385" i="2"/>
  <c r="CN385" i="2"/>
  <c r="CO385" i="2"/>
  <c r="CP385" i="2"/>
  <c r="CQ385" i="2"/>
  <c r="CC386" i="2"/>
  <c r="CD386" i="2"/>
  <c r="CE386" i="2"/>
  <c r="CF386" i="2"/>
  <c r="CG386" i="2"/>
  <c r="CH386" i="2"/>
  <c r="CI386" i="2"/>
  <c r="CJ386" i="2"/>
  <c r="CK386" i="2"/>
  <c r="CL386" i="2"/>
  <c r="CM386" i="2"/>
  <c r="CN386" i="2"/>
  <c r="CO386" i="2"/>
  <c r="CP386" i="2"/>
  <c r="CQ386" i="2"/>
  <c r="CC387" i="2"/>
  <c r="CD387" i="2"/>
  <c r="CE387" i="2"/>
  <c r="CF387" i="2"/>
  <c r="CG387" i="2"/>
  <c r="CH387" i="2"/>
  <c r="CI387" i="2"/>
  <c r="CJ387" i="2"/>
  <c r="CK387" i="2"/>
  <c r="CL387" i="2"/>
  <c r="CM387" i="2"/>
  <c r="CN387" i="2"/>
  <c r="CO387" i="2"/>
  <c r="CP387" i="2"/>
  <c r="CQ387" i="2"/>
  <c r="CC388" i="2"/>
  <c r="CD388" i="2"/>
  <c r="CE388" i="2"/>
  <c r="CF388" i="2"/>
  <c r="CG388" i="2"/>
  <c r="CH388" i="2"/>
  <c r="CI388" i="2"/>
  <c r="CJ388" i="2"/>
  <c r="CK388" i="2"/>
  <c r="CL388" i="2"/>
  <c r="CM388" i="2"/>
  <c r="CN388" i="2"/>
  <c r="CO388" i="2"/>
  <c r="CP388" i="2"/>
  <c r="CQ388" i="2"/>
  <c r="CC389" i="2"/>
  <c r="CD389" i="2"/>
  <c r="CE389" i="2"/>
  <c r="CF389" i="2"/>
  <c r="CG389" i="2"/>
  <c r="CH389" i="2"/>
  <c r="CI389" i="2"/>
  <c r="CJ389" i="2"/>
  <c r="CK389" i="2"/>
  <c r="CL389" i="2"/>
  <c r="CM389" i="2"/>
  <c r="CN389" i="2"/>
  <c r="CO389" i="2"/>
  <c r="CP389" i="2"/>
  <c r="CQ389" i="2"/>
  <c r="CC390" i="2"/>
  <c r="CD390" i="2"/>
  <c r="CE390" i="2"/>
  <c r="CF390" i="2"/>
  <c r="CG390" i="2"/>
  <c r="CH390" i="2"/>
  <c r="CI390" i="2"/>
  <c r="CJ390" i="2"/>
  <c r="CK390" i="2"/>
  <c r="CL390" i="2"/>
  <c r="CM390" i="2"/>
  <c r="CN390" i="2"/>
  <c r="CO390" i="2"/>
  <c r="CP390" i="2"/>
  <c r="CQ390" i="2"/>
  <c r="CC391" i="2"/>
  <c r="CD391" i="2"/>
  <c r="CE391" i="2"/>
  <c r="CF391" i="2"/>
  <c r="CG391" i="2"/>
  <c r="CH391" i="2"/>
  <c r="CI391" i="2"/>
  <c r="CJ391" i="2"/>
  <c r="CK391" i="2"/>
  <c r="CL391" i="2"/>
  <c r="CM391" i="2"/>
  <c r="CN391" i="2"/>
  <c r="CO391" i="2"/>
  <c r="CP391" i="2"/>
  <c r="CQ391" i="2"/>
  <c r="CC392" i="2"/>
  <c r="CD392" i="2"/>
  <c r="CE392" i="2"/>
  <c r="CF392" i="2"/>
  <c r="CG392" i="2"/>
  <c r="CH392" i="2"/>
  <c r="CI392" i="2"/>
  <c r="CJ392" i="2"/>
  <c r="CK392" i="2"/>
  <c r="CL392" i="2"/>
  <c r="CM392" i="2"/>
  <c r="CN392" i="2"/>
  <c r="CO392" i="2"/>
  <c r="CP392" i="2"/>
  <c r="CQ392" i="2"/>
  <c r="CC393" i="2"/>
  <c r="CD393" i="2"/>
  <c r="CE393" i="2"/>
  <c r="CF393" i="2"/>
  <c r="CG393" i="2"/>
  <c r="CH393" i="2"/>
  <c r="CI393" i="2"/>
  <c r="CJ393" i="2"/>
  <c r="CK393" i="2"/>
  <c r="CL393" i="2"/>
  <c r="CM393" i="2"/>
  <c r="CN393" i="2"/>
  <c r="CO393" i="2"/>
  <c r="CP393" i="2"/>
  <c r="CQ393" i="2"/>
  <c r="CC394" i="2"/>
  <c r="CD394" i="2"/>
  <c r="CE394" i="2"/>
  <c r="CF394" i="2"/>
  <c r="CG394" i="2"/>
  <c r="CH394" i="2"/>
  <c r="CI394" i="2"/>
  <c r="CJ394" i="2"/>
  <c r="CK394" i="2"/>
  <c r="CL394" i="2"/>
  <c r="CM394" i="2"/>
  <c r="CN394" i="2"/>
  <c r="CO394" i="2"/>
  <c r="CP394" i="2"/>
  <c r="CQ394" i="2"/>
  <c r="CC395" i="2"/>
  <c r="CD395" i="2"/>
  <c r="CE395" i="2"/>
  <c r="CF395" i="2"/>
  <c r="CG395" i="2"/>
  <c r="CH395" i="2"/>
  <c r="CI395" i="2"/>
  <c r="CJ395" i="2"/>
  <c r="CK395" i="2"/>
  <c r="CL395" i="2"/>
  <c r="CM395" i="2"/>
  <c r="CN395" i="2"/>
  <c r="CO395" i="2"/>
  <c r="CP395" i="2"/>
  <c r="CQ395" i="2"/>
  <c r="CC396" i="2"/>
  <c r="CD396" i="2"/>
  <c r="CE396" i="2"/>
  <c r="CF396" i="2"/>
  <c r="CG396" i="2"/>
  <c r="CH396" i="2"/>
  <c r="CI396" i="2"/>
  <c r="CJ396" i="2"/>
  <c r="CK396" i="2"/>
  <c r="CL396" i="2"/>
  <c r="CM396" i="2"/>
  <c r="CN396" i="2"/>
  <c r="CO396" i="2"/>
  <c r="CP396" i="2"/>
  <c r="CQ396" i="2"/>
  <c r="CC397" i="2"/>
  <c r="CD397" i="2"/>
  <c r="CE397" i="2"/>
  <c r="CF397" i="2"/>
  <c r="CG397" i="2"/>
  <c r="CH397" i="2"/>
  <c r="CI397" i="2"/>
  <c r="CJ397" i="2"/>
  <c r="CK397" i="2"/>
  <c r="CL397" i="2"/>
  <c r="CM397" i="2"/>
  <c r="CN397" i="2"/>
  <c r="CO397" i="2"/>
  <c r="CP397" i="2"/>
  <c r="CQ397" i="2"/>
  <c r="CC398" i="2"/>
  <c r="CD398" i="2"/>
  <c r="CE398" i="2"/>
  <c r="CF398" i="2"/>
  <c r="CG398" i="2"/>
  <c r="CH398" i="2"/>
  <c r="CI398" i="2"/>
  <c r="CJ398" i="2"/>
  <c r="CK398" i="2"/>
  <c r="CL398" i="2"/>
  <c r="CM398" i="2"/>
  <c r="CN398" i="2"/>
  <c r="CO398" i="2"/>
  <c r="CP398" i="2"/>
  <c r="CQ398" i="2"/>
  <c r="CC399" i="2"/>
  <c r="CD399" i="2"/>
  <c r="CE399" i="2"/>
  <c r="CF399" i="2"/>
  <c r="CG399" i="2"/>
  <c r="CH399" i="2"/>
  <c r="CI399" i="2"/>
  <c r="CJ399" i="2"/>
  <c r="CK399" i="2"/>
  <c r="CL399" i="2"/>
  <c r="CM399" i="2"/>
  <c r="CN399" i="2"/>
  <c r="CO399" i="2"/>
  <c r="CP399" i="2"/>
  <c r="CQ399" i="2"/>
  <c r="CC400" i="2"/>
  <c r="CD400" i="2"/>
  <c r="CE400" i="2"/>
  <c r="CF400" i="2"/>
  <c r="CG400" i="2"/>
  <c r="CH400" i="2"/>
  <c r="CI400" i="2"/>
  <c r="CJ400" i="2"/>
  <c r="CK400" i="2"/>
  <c r="CL400" i="2"/>
  <c r="CM400" i="2"/>
  <c r="CN400" i="2"/>
  <c r="CO400" i="2"/>
  <c r="CP400" i="2"/>
  <c r="CQ400" i="2"/>
  <c r="CC401" i="2"/>
  <c r="CD401" i="2"/>
  <c r="CE401" i="2"/>
  <c r="CF401" i="2"/>
  <c r="CG401" i="2"/>
  <c r="CH401" i="2"/>
  <c r="CI401" i="2"/>
  <c r="CJ401" i="2"/>
  <c r="CK401" i="2"/>
  <c r="CL401" i="2"/>
  <c r="CM401" i="2"/>
  <c r="CN401" i="2"/>
  <c r="CO401" i="2"/>
  <c r="CP401" i="2"/>
  <c r="CQ401" i="2"/>
  <c r="CC402" i="2"/>
  <c r="CD402" i="2"/>
  <c r="CE402" i="2"/>
  <c r="CF402" i="2"/>
  <c r="CG402" i="2"/>
  <c r="CH402" i="2"/>
  <c r="CI402" i="2"/>
  <c r="CJ402" i="2"/>
  <c r="CK402" i="2"/>
  <c r="CL402" i="2"/>
  <c r="CM402" i="2"/>
  <c r="CN402" i="2"/>
  <c r="CO402" i="2"/>
  <c r="CP402" i="2"/>
  <c r="CQ402" i="2"/>
  <c r="CC403" i="2"/>
  <c r="CD403" i="2"/>
  <c r="CE403" i="2"/>
  <c r="CF403" i="2"/>
  <c r="CG403" i="2"/>
  <c r="CH403" i="2"/>
  <c r="CI403" i="2"/>
  <c r="CJ403" i="2"/>
  <c r="CK403" i="2"/>
  <c r="CL403" i="2"/>
  <c r="CM403" i="2"/>
  <c r="CN403" i="2"/>
  <c r="CO403" i="2"/>
  <c r="CP403" i="2"/>
  <c r="CQ403" i="2"/>
  <c r="CC404" i="2"/>
  <c r="CD404" i="2"/>
  <c r="CE404" i="2"/>
  <c r="CF404" i="2"/>
  <c r="CG404" i="2"/>
  <c r="CH404" i="2"/>
  <c r="CI404" i="2"/>
  <c r="CJ404" i="2"/>
  <c r="CK404" i="2"/>
  <c r="CL404" i="2"/>
  <c r="CM404" i="2"/>
  <c r="CN404" i="2"/>
  <c r="CO404" i="2"/>
  <c r="CP404" i="2"/>
  <c r="CQ404" i="2"/>
  <c r="CC405" i="2"/>
  <c r="CD405" i="2"/>
  <c r="CE405" i="2"/>
  <c r="CF405" i="2"/>
  <c r="CG405" i="2"/>
  <c r="CH405" i="2"/>
  <c r="CI405" i="2"/>
  <c r="CJ405" i="2"/>
  <c r="CK405" i="2"/>
  <c r="CL405" i="2"/>
  <c r="CM405" i="2"/>
  <c r="CN405" i="2"/>
  <c r="CO405" i="2"/>
  <c r="CP405" i="2"/>
  <c r="CQ405" i="2"/>
  <c r="CC406" i="2"/>
  <c r="CD406" i="2"/>
  <c r="CE406" i="2"/>
  <c r="CF406" i="2"/>
  <c r="CG406" i="2"/>
  <c r="CH406" i="2"/>
  <c r="CI406" i="2"/>
  <c r="CJ406" i="2"/>
  <c r="CK406" i="2"/>
  <c r="CL406" i="2"/>
  <c r="CM406" i="2"/>
  <c r="CN406" i="2"/>
  <c r="CO406" i="2"/>
  <c r="CP406" i="2"/>
  <c r="CQ406" i="2"/>
  <c r="CC407" i="2"/>
  <c r="CD407" i="2"/>
  <c r="CE407" i="2"/>
  <c r="CF407" i="2"/>
  <c r="CG407" i="2"/>
  <c r="CH407" i="2"/>
  <c r="CI407" i="2"/>
  <c r="CJ407" i="2"/>
  <c r="CK407" i="2"/>
  <c r="CL407" i="2"/>
  <c r="CM407" i="2"/>
  <c r="CN407" i="2"/>
  <c r="CO407" i="2"/>
  <c r="CP407" i="2"/>
  <c r="CQ407" i="2"/>
  <c r="CC408" i="2"/>
  <c r="CD408" i="2"/>
  <c r="CE408" i="2"/>
  <c r="CF408" i="2"/>
  <c r="CG408" i="2"/>
  <c r="CH408" i="2"/>
  <c r="CI408" i="2"/>
  <c r="CJ408" i="2"/>
  <c r="CK408" i="2"/>
  <c r="CL408" i="2"/>
  <c r="CM408" i="2"/>
  <c r="CN408" i="2"/>
  <c r="CO408" i="2"/>
  <c r="CP408" i="2"/>
  <c r="CQ408" i="2"/>
  <c r="CC409" i="2"/>
  <c r="CD409" i="2"/>
  <c r="CE409" i="2"/>
  <c r="CF409" i="2"/>
  <c r="CG409" i="2"/>
  <c r="CH409" i="2"/>
  <c r="CI409" i="2"/>
  <c r="CJ409" i="2"/>
  <c r="CK409" i="2"/>
  <c r="CL409" i="2"/>
  <c r="CM409" i="2"/>
  <c r="CN409" i="2"/>
  <c r="CO409" i="2"/>
  <c r="CP409" i="2"/>
  <c r="CQ409" i="2"/>
  <c r="CC410" i="2"/>
  <c r="CD410" i="2"/>
  <c r="CE410" i="2"/>
  <c r="CF410" i="2"/>
  <c r="CG410" i="2"/>
  <c r="CH410" i="2"/>
  <c r="CI410" i="2"/>
  <c r="CJ410" i="2"/>
  <c r="CK410" i="2"/>
  <c r="CL410" i="2"/>
  <c r="CM410" i="2"/>
  <c r="CN410" i="2"/>
  <c r="CO410" i="2"/>
  <c r="CP410" i="2"/>
  <c r="CQ410" i="2"/>
  <c r="CC411" i="2"/>
  <c r="CD411" i="2"/>
  <c r="CE411" i="2"/>
  <c r="CF411" i="2"/>
  <c r="CG411" i="2"/>
  <c r="CH411" i="2"/>
  <c r="CI411" i="2"/>
  <c r="CJ411" i="2"/>
  <c r="CK411" i="2"/>
  <c r="CL411" i="2"/>
  <c r="CM411" i="2"/>
  <c r="CN411" i="2"/>
  <c r="CO411" i="2"/>
  <c r="CP411" i="2"/>
  <c r="CQ411" i="2"/>
  <c r="CC412" i="2"/>
  <c r="CD412" i="2"/>
  <c r="CE412" i="2"/>
  <c r="CF412" i="2"/>
  <c r="CG412" i="2"/>
  <c r="CH412" i="2"/>
  <c r="CI412" i="2"/>
  <c r="CJ412" i="2"/>
  <c r="CK412" i="2"/>
  <c r="CL412" i="2"/>
  <c r="CM412" i="2"/>
  <c r="CN412" i="2"/>
  <c r="CO412" i="2"/>
  <c r="CP412" i="2"/>
  <c r="CQ412" i="2"/>
  <c r="CC413" i="2"/>
  <c r="CD413" i="2"/>
  <c r="CE413" i="2"/>
  <c r="CF413" i="2"/>
  <c r="CG413" i="2"/>
  <c r="CH413" i="2"/>
  <c r="CI413" i="2"/>
  <c r="CJ413" i="2"/>
  <c r="CK413" i="2"/>
  <c r="CL413" i="2"/>
  <c r="CM413" i="2"/>
  <c r="CN413" i="2"/>
  <c r="CO413" i="2"/>
  <c r="CP413" i="2"/>
  <c r="CQ413" i="2"/>
  <c r="CC414" i="2"/>
  <c r="CD414" i="2"/>
  <c r="CE414" i="2"/>
  <c r="CF414" i="2"/>
  <c r="CG414" i="2"/>
  <c r="CH414" i="2"/>
  <c r="CI414" i="2"/>
  <c r="CJ414" i="2"/>
  <c r="CK414" i="2"/>
  <c r="CL414" i="2"/>
  <c r="CM414" i="2"/>
  <c r="CN414" i="2"/>
  <c r="CO414" i="2"/>
  <c r="CP414" i="2"/>
  <c r="CQ414" i="2"/>
  <c r="CC415" i="2"/>
  <c r="CD415" i="2"/>
  <c r="CE415" i="2"/>
  <c r="CF415" i="2"/>
  <c r="CG415" i="2"/>
  <c r="CH415" i="2"/>
  <c r="CI415" i="2"/>
  <c r="CJ415" i="2"/>
  <c r="CK415" i="2"/>
  <c r="CL415" i="2"/>
  <c r="CM415" i="2"/>
  <c r="CN415" i="2"/>
  <c r="CO415" i="2"/>
  <c r="CP415" i="2"/>
  <c r="CQ415" i="2"/>
  <c r="CC416" i="2"/>
  <c r="CD416" i="2"/>
  <c r="CE416" i="2"/>
  <c r="CF416" i="2"/>
  <c r="CG416" i="2"/>
  <c r="CH416" i="2"/>
  <c r="CI416" i="2"/>
  <c r="CJ416" i="2"/>
  <c r="CK416" i="2"/>
  <c r="CL416" i="2"/>
  <c r="CM416" i="2"/>
  <c r="CN416" i="2"/>
  <c r="CO416" i="2"/>
  <c r="CP416" i="2"/>
  <c r="CQ416" i="2"/>
  <c r="CC417" i="2"/>
  <c r="CD417" i="2"/>
  <c r="CE417" i="2"/>
  <c r="CF417" i="2"/>
  <c r="CG417" i="2"/>
  <c r="CH417" i="2"/>
  <c r="CI417" i="2"/>
  <c r="CJ417" i="2"/>
  <c r="CK417" i="2"/>
  <c r="CL417" i="2"/>
  <c r="CM417" i="2"/>
  <c r="CN417" i="2"/>
  <c r="CO417" i="2"/>
  <c r="CP417" i="2"/>
  <c r="CQ417" i="2"/>
  <c r="CC418" i="2"/>
  <c r="CD418" i="2"/>
  <c r="CE418" i="2"/>
  <c r="CF418" i="2"/>
  <c r="CG418" i="2"/>
  <c r="CH418" i="2"/>
  <c r="CI418" i="2"/>
  <c r="CJ418" i="2"/>
  <c r="CK418" i="2"/>
  <c r="CL418" i="2"/>
  <c r="CM418" i="2"/>
  <c r="CN418" i="2"/>
  <c r="CO418" i="2"/>
  <c r="CP418" i="2"/>
  <c r="CQ418" i="2"/>
  <c r="CC419" i="2"/>
  <c r="CD419" i="2"/>
  <c r="CE419" i="2"/>
  <c r="CF419" i="2"/>
  <c r="CG419" i="2"/>
  <c r="CH419" i="2"/>
  <c r="CI419" i="2"/>
  <c r="CJ419" i="2"/>
  <c r="CK419" i="2"/>
  <c r="CL419" i="2"/>
  <c r="CM419" i="2"/>
  <c r="CN419" i="2"/>
  <c r="CO419" i="2"/>
  <c r="CP419" i="2"/>
  <c r="CQ419" i="2"/>
  <c r="CC420" i="2"/>
  <c r="CD420" i="2"/>
  <c r="CE420" i="2"/>
  <c r="CF420" i="2"/>
  <c r="CG420" i="2"/>
  <c r="CH420" i="2"/>
  <c r="CI420" i="2"/>
  <c r="CJ420" i="2"/>
  <c r="CK420" i="2"/>
  <c r="CL420" i="2"/>
  <c r="CM420" i="2"/>
  <c r="CN420" i="2"/>
  <c r="CO420" i="2"/>
  <c r="CP420" i="2"/>
  <c r="CQ420" i="2"/>
  <c r="CC421" i="2"/>
  <c r="CD421" i="2"/>
  <c r="CE421" i="2"/>
  <c r="CF421" i="2"/>
  <c r="CG421" i="2"/>
  <c r="CH421" i="2"/>
  <c r="CI421" i="2"/>
  <c r="CJ421" i="2"/>
  <c r="CK421" i="2"/>
  <c r="CL421" i="2"/>
  <c r="CM421" i="2"/>
  <c r="CN421" i="2"/>
  <c r="CO421" i="2"/>
  <c r="CP421" i="2"/>
  <c r="CQ421" i="2"/>
  <c r="CC422" i="2"/>
  <c r="CD422" i="2"/>
  <c r="CE422" i="2"/>
  <c r="CF422" i="2"/>
  <c r="CG422" i="2"/>
  <c r="CH422" i="2"/>
  <c r="CI422" i="2"/>
  <c r="CJ422" i="2"/>
  <c r="CK422" i="2"/>
  <c r="CL422" i="2"/>
  <c r="CM422" i="2"/>
  <c r="CN422" i="2"/>
  <c r="CO422" i="2"/>
  <c r="CP422" i="2"/>
  <c r="CQ422" i="2"/>
  <c r="CC423" i="2"/>
  <c r="CD423" i="2"/>
  <c r="CE423" i="2"/>
  <c r="CF423" i="2"/>
  <c r="CG423" i="2"/>
  <c r="CH423" i="2"/>
  <c r="CI423" i="2"/>
  <c r="CJ423" i="2"/>
  <c r="CK423" i="2"/>
  <c r="CL423" i="2"/>
  <c r="CM423" i="2"/>
  <c r="CN423" i="2"/>
  <c r="CO423" i="2"/>
  <c r="CP423" i="2"/>
  <c r="CQ423" i="2"/>
  <c r="CC424" i="2"/>
  <c r="CD424" i="2"/>
  <c r="CE424" i="2"/>
  <c r="CF424" i="2"/>
  <c r="CG424" i="2"/>
  <c r="CH424" i="2"/>
  <c r="CI424" i="2"/>
  <c r="CJ424" i="2"/>
  <c r="CK424" i="2"/>
  <c r="CL424" i="2"/>
  <c r="CM424" i="2"/>
  <c r="CN424" i="2"/>
  <c r="CO424" i="2"/>
  <c r="CP424" i="2"/>
  <c r="CQ424" i="2"/>
  <c r="CC425" i="2"/>
  <c r="CD425" i="2"/>
  <c r="CE425" i="2"/>
  <c r="CF425" i="2"/>
  <c r="CG425" i="2"/>
  <c r="CH425" i="2"/>
  <c r="CI425" i="2"/>
  <c r="CJ425" i="2"/>
  <c r="CK425" i="2"/>
  <c r="CL425" i="2"/>
  <c r="CM425" i="2"/>
  <c r="CN425" i="2"/>
  <c r="CO425" i="2"/>
  <c r="CP425" i="2"/>
  <c r="CQ425" i="2"/>
  <c r="CC426" i="2"/>
  <c r="CD426" i="2"/>
  <c r="CE426" i="2"/>
  <c r="CF426" i="2"/>
  <c r="CG426" i="2"/>
  <c r="CH426" i="2"/>
  <c r="CI426" i="2"/>
  <c r="CJ426" i="2"/>
  <c r="CK426" i="2"/>
  <c r="CL426" i="2"/>
  <c r="CM426" i="2"/>
  <c r="CN426" i="2"/>
  <c r="CO426" i="2"/>
  <c r="CP426" i="2"/>
  <c r="CQ426" i="2"/>
  <c r="CC427" i="2"/>
  <c r="CD427" i="2"/>
  <c r="CE427" i="2"/>
  <c r="CF427" i="2"/>
  <c r="CG427" i="2"/>
  <c r="CH427" i="2"/>
  <c r="CI427" i="2"/>
  <c r="CJ427" i="2"/>
  <c r="CK427" i="2"/>
  <c r="CL427" i="2"/>
  <c r="CM427" i="2"/>
  <c r="CN427" i="2"/>
  <c r="CO427" i="2"/>
  <c r="CP427" i="2"/>
  <c r="CQ427" i="2"/>
  <c r="CC428" i="2"/>
  <c r="CD428" i="2"/>
  <c r="CE428" i="2"/>
  <c r="CF428" i="2"/>
  <c r="CG428" i="2"/>
  <c r="CH428" i="2"/>
  <c r="CI428" i="2"/>
  <c r="CJ428" i="2"/>
  <c r="CK428" i="2"/>
  <c r="CL428" i="2"/>
  <c r="CM428" i="2"/>
  <c r="CN428" i="2"/>
  <c r="CO428" i="2"/>
  <c r="CP428" i="2"/>
  <c r="CQ428" i="2"/>
  <c r="CC429" i="2"/>
  <c r="CD429" i="2"/>
  <c r="CE429" i="2"/>
  <c r="CF429" i="2"/>
  <c r="CG429" i="2"/>
  <c r="CH429" i="2"/>
  <c r="CI429" i="2"/>
  <c r="CJ429" i="2"/>
  <c r="CK429" i="2"/>
  <c r="CL429" i="2"/>
  <c r="CM429" i="2"/>
  <c r="CN429" i="2"/>
  <c r="CO429" i="2"/>
  <c r="CP429" i="2"/>
  <c r="CQ429" i="2"/>
  <c r="CC430" i="2"/>
  <c r="CD430" i="2"/>
  <c r="CE430" i="2"/>
  <c r="CF430" i="2"/>
  <c r="CG430" i="2"/>
  <c r="CH430" i="2"/>
  <c r="CI430" i="2"/>
  <c r="CJ430" i="2"/>
  <c r="CK430" i="2"/>
  <c r="CL430" i="2"/>
  <c r="CM430" i="2"/>
  <c r="CN430" i="2"/>
  <c r="CO430" i="2"/>
  <c r="CP430" i="2"/>
  <c r="CQ430" i="2"/>
  <c r="CC431" i="2"/>
  <c r="CD431" i="2"/>
  <c r="CE431" i="2"/>
  <c r="CF431" i="2"/>
  <c r="CG431" i="2"/>
  <c r="CH431" i="2"/>
  <c r="CI431" i="2"/>
  <c r="CJ431" i="2"/>
  <c r="CK431" i="2"/>
  <c r="CL431" i="2"/>
  <c r="CM431" i="2"/>
  <c r="CN431" i="2"/>
  <c r="CO431" i="2"/>
  <c r="CP431" i="2"/>
  <c r="CQ431" i="2"/>
  <c r="CC432" i="2"/>
  <c r="CD432" i="2"/>
  <c r="CE432" i="2"/>
  <c r="CF432" i="2"/>
  <c r="CG432" i="2"/>
  <c r="CH432" i="2"/>
  <c r="CI432" i="2"/>
  <c r="CJ432" i="2"/>
  <c r="CK432" i="2"/>
  <c r="CL432" i="2"/>
  <c r="CM432" i="2"/>
  <c r="CN432" i="2"/>
  <c r="CO432" i="2"/>
  <c r="CP432" i="2"/>
  <c r="CQ432" i="2"/>
  <c r="CC433" i="2"/>
  <c r="CD433" i="2"/>
  <c r="CE433" i="2"/>
  <c r="CF433" i="2"/>
  <c r="CG433" i="2"/>
  <c r="CH433" i="2"/>
  <c r="CI433" i="2"/>
  <c r="CJ433" i="2"/>
  <c r="CK433" i="2"/>
  <c r="CL433" i="2"/>
  <c r="CM433" i="2"/>
  <c r="CN433" i="2"/>
  <c r="CO433" i="2"/>
  <c r="CP433" i="2"/>
  <c r="CQ433" i="2"/>
  <c r="CC434" i="2"/>
  <c r="CD434" i="2"/>
  <c r="CE434" i="2"/>
  <c r="CF434" i="2"/>
  <c r="CG434" i="2"/>
  <c r="CH434" i="2"/>
  <c r="CI434" i="2"/>
  <c r="CJ434" i="2"/>
  <c r="CK434" i="2"/>
  <c r="CL434" i="2"/>
  <c r="CM434" i="2"/>
  <c r="CN434" i="2"/>
  <c r="CO434" i="2"/>
  <c r="CP434" i="2"/>
  <c r="CQ434" i="2"/>
  <c r="CC435" i="2"/>
  <c r="CD435" i="2"/>
  <c r="CE435" i="2"/>
  <c r="CF435" i="2"/>
  <c r="CG435" i="2"/>
  <c r="CH435" i="2"/>
  <c r="CI435" i="2"/>
  <c r="CJ435" i="2"/>
  <c r="CK435" i="2"/>
  <c r="CL435" i="2"/>
  <c r="CM435" i="2"/>
  <c r="CN435" i="2"/>
  <c r="CO435" i="2"/>
  <c r="CP435" i="2"/>
  <c r="CQ435" i="2"/>
  <c r="CC436" i="2"/>
  <c r="CD436" i="2"/>
  <c r="CE436" i="2"/>
  <c r="CF436" i="2"/>
  <c r="CG436" i="2"/>
  <c r="CH436" i="2"/>
  <c r="CI436" i="2"/>
  <c r="CJ436" i="2"/>
  <c r="CK436" i="2"/>
  <c r="CL436" i="2"/>
  <c r="CM436" i="2"/>
  <c r="CN436" i="2"/>
  <c r="CO436" i="2"/>
  <c r="CP436" i="2"/>
  <c r="CQ436" i="2"/>
  <c r="CC437" i="2"/>
  <c r="CD437" i="2"/>
  <c r="CE437" i="2"/>
  <c r="CF437" i="2"/>
  <c r="CG437" i="2"/>
  <c r="CH437" i="2"/>
  <c r="CI437" i="2"/>
  <c r="CJ437" i="2"/>
  <c r="CK437" i="2"/>
  <c r="CL437" i="2"/>
  <c r="CM437" i="2"/>
  <c r="CN437" i="2"/>
  <c r="CO437" i="2"/>
  <c r="CP437" i="2"/>
  <c r="CQ437" i="2"/>
  <c r="CC438" i="2"/>
  <c r="CD438" i="2"/>
  <c r="CE438" i="2"/>
  <c r="CF438" i="2"/>
  <c r="CG438" i="2"/>
  <c r="CH438" i="2"/>
  <c r="CI438" i="2"/>
  <c r="CJ438" i="2"/>
  <c r="CK438" i="2"/>
  <c r="CL438" i="2"/>
  <c r="CM438" i="2"/>
  <c r="CN438" i="2"/>
  <c r="CO438" i="2"/>
  <c r="CP438" i="2"/>
  <c r="CQ438" i="2"/>
  <c r="CC439" i="2"/>
  <c r="CD439" i="2"/>
  <c r="CE439" i="2"/>
  <c r="CF439" i="2"/>
  <c r="CG439" i="2"/>
  <c r="CH439" i="2"/>
  <c r="CI439" i="2"/>
  <c r="CJ439" i="2"/>
  <c r="CK439" i="2"/>
  <c r="CL439" i="2"/>
  <c r="CM439" i="2"/>
  <c r="CN439" i="2"/>
  <c r="CO439" i="2"/>
  <c r="CP439" i="2"/>
  <c r="CQ439" i="2"/>
  <c r="CC440" i="2"/>
  <c r="CD440" i="2"/>
  <c r="CE440" i="2"/>
  <c r="CF440" i="2"/>
  <c r="CG440" i="2"/>
  <c r="CH440" i="2"/>
  <c r="CI440" i="2"/>
  <c r="CJ440" i="2"/>
  <c r="CK440" i="2"/>
  <c r="CL440" i="2"/>
  <c r="CM440" i="2"/>
  <c r="CN440" i="2"/>
  <c r="CO440" i="2"/>
  <c r="CP440" i="2"/>
  <c r="CQ440" i="2"/>
  <c r="CC441" i="2"/>
  <c r="CD441" i="2"/>
  <c r="CE441" i="2"/>
  <c r="CF441" i="2"/>
  <c r="CG441" i="2"/>
  <c r="CH441" i="2"/>
  <c r="CI441" i="2"/>
  <c r="CJ441" i="2"/>
  <c r="CK441" i="2"/>
  <c r="CL441" i="2"/>
  <c r="CM441" i="2"/>
  <c r="CN441" i="2"/>
  <c r="CO441" i="2"/>
  <c r="CP441" i="2"/>
  <c r="CQ441" i="2"/>
  <c r="CC442" i="2"/>
  <c r="CD442" i="2"/>
  <c r="CE442" i="2"/>
  <c r="CF442" i="2"/>
  <c r="CG442" i="2"/>
  <c r="CH442" i="2"/>
  <c r="CI442" i="2"/>
  <c r="CJ442" i="2"/>
  <c r="CK442" i="2"/>
  <c r="CL442" i="2"/>
  <c r="CM442" i="2"/>
  <c r="CN442" i="2"/>
  <c r="CO442" i="2"/>
  <c r="CP442" i="2"/>
  <c r="CQ442" i="2"/>
  <c r="CC443" i="2"/>
  <c r="CD443" i="2"/>
  <c r="CE443" i="2"/>
  <c r="CF443" i="2"/>
  <c r="CG443" i="2"/>
  <c r="CH443" i="2"/>
  <c r="CI443" i="2"/>
  <c r="CJ443" i="2"/>
  <c r="CK443" i="2"/>
  <c r="CL443" i="2"/>
  <c r="CM443" i="2"/>
  <c r="CN443" i="2"/>
  <c r="CO443" i="2"/>
  <c r="CP443" i="2"/>
  <c r="CQ443" i="2"/>
  <c r="CC444" i="2"/>
  <c r="CD444" i="2"/>
  <c r="CE444" i="2"/>
  <c r="CF444" i="2"/>
  <c r="CG444" i="2"/>
  <c r="CH444" i="2"/>
  <c r="CI444" i="2"/>
  <c r="CJ444" i="2"/>
  <c r="CK444" i="2"/>
  <c r="CL444" i="2"/>
  <c r="CM444" i="2"/>
  <c r="CN444" i="2"/>
  <c r="CO444" i="2"/>
  <c r="CP444" i="2"/>
  <c r="CQ444" i="2"/>
  <c r="CC445" i="2"/>
  <c r="CD445" i="2"/>
  <c r="CE445" i="2"/>
  <c r="CF445" i="2"/>
  <c r="CG445" i="2"/>
  <c r="CH445" i="2"/>
  <c r="CI445" i="2"/>
  <c r="CJ445" i="2"/>
  <c r="CK445" i="2"/>
  <c r="CL445" i="2"/>
  <c r="CM445" i="2"/>
  <c r="CN445" i="2"/>
  <c r="CO445" i="2"/>
  <c r="CP445" i="2"/>
  <c r="CQ445" i="2"/>
  <c r="CC446" i="2"/>
  <c r="CD446" i="2"/>
  <c r="CE446" i="2"/>
  <c r="CF446" i="2"/>
  <c r="CG446" i="2"/>
  <c r="CH446" i="2"/>
  <c r="CI446" i="2"/>
  <c r="CJ446" i="2"/>
  <c r="CK446" i="2"/>
  <c r="CL446" i="2"/>
  <c r="CM446" i="2"/>
  <c r="CN446" i="2"/>
  <c r="CO446" i="2"/>
  <c r="CP446" i="2"/>
  <c r="CQ446" i="2"/>
  <c r="CC447" i="2"/>
  <c r="CD447" i="2"/>
  <c r="CE447" i="2"/>
  <c r="CF447" i="2"/>
  <c r="CG447" i="2"/>
  <c r="CH447" i="2"/>
  <c r="CI447" i="2"/>
  <c r="CJ447" i="2"/>
  <c r="CK447" i="2"/>
  <c r="CL447" i="2"/>
  <c r="CM447" i="2"/>
  <c r="CN447" i="2"/>
  <c r="CO447" i="2"/>
  <c r="CP447" i="2"/>
  <c r="CQ447" i="2"/>
  <c r="CC448" i="2"/>
  <c r="CD448" i="2"/>
  <c r="CE448" i="2"/>
  <c r="CF448" i="2"/>
  <c r="CG448" i="2"/>
  <c r="CH448" i="2"/>
  <c r="CI448" i="2"/>
  <c r="CJ448" i="2"/>
  <c r="CK448" i="2"/>
  <c r="CL448" i="2"/>
  <c r="CM448" i="2"/>
  <c r="CN448" i="2"/>
  <c r="CO448" i="2"/>
  <c r="CP448" i="2"/>
  <c r="CQ448" i="2"/>
  <c r="CC449" i="2"/>
  <c r="CD449" i="2"/>
  <c r="CE449" i="2"/>
  <c r="CF449" i="2"/>
  <c r="CG449" i="2"/>
  <c r="CH449" i="2"/>
  <c r="CI449" i="2"/>
  <c r="CJ449" i="2"/>
  <c r="CK449" i="2"/>
  <c r="CL449" i="2"/>
  <c r="CM449" i="2"/>
  <c r="CN449" i="2"/>
  <c r="CO449" i="2"/>
  <c r="CP449" i="2"/>
  <c r="CQ449" i="2"/>
  <c r="CC450" i="2"/>
  <c r="CD450" i="2"/>
  <c r="CE450" i="2"/>
  <c r="CF450" i="2"/>
  <c r="CG450" i="2"/>
  <c r="CH450" i="2"/>
  <c r="CI450" i="2"/>
  <c r="CJ450" i="2"/>
  <c r="CK450" i="2"/>
  <c r="CL450" i="2"/>
  <c r="CM450" i="2"/>
  <c r="CN450" i="2"/>
  <c r="CO450" i="2"/>
  <c r="CP450" i="2"/>
  <c r="CQ450" i="2"/>
  <c r="CC451" i="2"/>
  <c r="CD451" i="2"/>
  <c r="CE451" i="2"/>
  <c r="CF451" i="2"/>
  <c r="CG451" i="2"/>
  <c r="CH451" i="2"/>
  <c r="CI451" i="2"/>
  <c r="CJ451" i="2"/>
  <c r="CK451" i="2"/>
  <c r="CL451" i="2"/>
  <c r="CM451" i="2"/>
  <c r="CN451" i="2"/>
  <c r="CO451" i="2"/>
  <c r="CP451" i="2"/>
  <c r="CQ451" i="2"/>
  <c r="CC452" i="2"/>
  <c r="CD452" i="2"/>
  <c r="CE452" i="2"/>
  <c r="CF452" i="2"/>
  <c r="CG452" i="2"/>
  <c r="CH452" i="2"/>
  <c r="CI452" i="2"/>
  <c r="CJ452" i="2"/>
  <c r="CK452" i="2"/>
  <c r="CL452" i="2"/>
  <c r="CM452" i="2"/>
  <c r="CN452" i="2"/>
  <c r="CO452" i="2"/>
  <c r="CP452" i="2"/>
  <c r="CQ452" i="2"/>
  <c r="CC453" i="2"/>
  <c r="CD453" i="2"/>
  <c r="CE453" i="2"/>
  <c r="CF453" i="2"/>
  <c r="CG453" i="2"/>
  <c r="CH453" i="2"/>
  <c r="CI453" i="2"/>
  <c r="CJ453" i="2"/>
  <c r="CK453" i="2"/>
  <c r="CL453" i="2"/>
  <c r="CM453" i="2"/>
  <c r="CN453" i="2"/>
  <c r="CO453" i="2"/>
  <c r="CP453" i="2"/>
  <c r="CQ453" i="2"/>
  <c r="CC454" i="2"/>
  <c r="CD454" i="2"/>
  <c r="CE454" i="2"/>
  <c r="CF454" i="2"/>
  <c r="CG454" i="2"/>
  <c r="CH454" i="2"/>
  <c r="CI454" i="2"/>
  <c r="CJ454" i="2"/>
  <c r="CK454" i="2"/>
  <c r="CL454" i="2"/>
  <c r="CM454" i="2"/>
  <c r="CN454" i="2"/>
  <c r="CO454" i="2"/>
  <c r="CP454" i="2"/>
  <c r="CQ454" i="2"/>
  <c r="CC455" i="2"/>
  <c r="CD455" i="2"/>
  <c r="CE455" i="2"/>
  <c r="CF455" i="2"/>
  <c r="CG455" i="2"/>
  <c r="CH455" i="2"/>
  <c r="CI455" i="2"/>
  <c r="CJ455" i="2"/>
  <c r="CK455" i="2"/>
  <c r="CL455" i="2"/>
  <c r="CM455" i="2"/>
  <c r="CN455" i="2"/>
  <c r="CO455" i="2"/>
  <c r="CP455" i="2"/>
  <c r="CQ455" i="2"/>
  <c r="CC456" i="2"/>
  <c r="CD456" i="2"/>
  <c r="CE456" i="2"/>
  <c r="CF456" i="2"/>
  <c r="CG456" i="2"/>
  <c r="CH456" i="2"/>
  <c r="CI456" i="2"/>
  <c r="CJ456" i="2"/>
  <c r="CK456" i="2"/>
  <c r="CL456" i="2"/>
  <c r="CM456" i="2"/>
  <c r="CN456" i="2"/>
  <c r="CO456" i="2"/>
  <c r="CP456" i="2"/>
  <c r="CQ456" i="2"/>
  <c r="CC457" i="2"/>
  <c r="CD457" i="2"/>
  <c r="CE457" i="2"/>
  <c r="CF457" i="2"/>
  <c r="CG457" i="2"/>
  <c r="CH457" i="2"/>
  <c r="CI457" i="2"/>
  <c r="CJ457" i="2"/>
  <c r="CK457" i="2"/>
  <c r="CL457" i="2"/>
  <c r="CM457" i="2"/>
  <c r="CN457" i="2"/>
  <c r="CO457" i="2"/>
  <c r="CP457" i="2"/>
  <c r="CQ457" i="2"/>
  <c r="CC458" i="2"/>
  <c r="CD458" i="2"/>
  <c r="CE458" i="2"/>
  <c r="CF458" i="2"/>
  <c r="CG458" i="2"/>
  <c r="CH458" i="2"/>
  <c r="CI458" i="2"/>
  <c r="CJ458" i="2"/>
  <c r="CK458" i="2"/>
  <c r="CL458" i="2"/>
  <c r="CM458" i="2"/>
  <c r="CN458" i="2"/>
  <c r="CO458" i="2"/>
  <c r="CP458" i="2"/>
  <c r="CQ458" i="2"/>
  <c r="CC459" i="2"/>
  <c r="CD459" i="2"/>
  <c r="CE459" i="2"/>
  <c r="CF459" i="2"/>
  <c r="CG459" i="2"/>
  <c r="CH459" i="2"/>
  <c r="CI459" i="2"/>
  <c r="CJ459" i="2"/>
  <c r="CK459" i="2"/>
  <c r="CL459" i="2"/>
  <c r="CM459" i="2"/>
  <c r="CN459" i="2"/>
  <c r="CO459" i="2"/>
  <c r="CP459" i="2"/>
  <c r="CQ459" i="2"/>
  <c r="CC460" i="2"/>
  <c r="CD460" i="2"/>
  <c r="CE460" i="2"/>
  <c r="CF460" i="2"/>
  <c r="CG460" i="2"/>
  <c r="CH460" i="2"/>
  <c r="CI460" i="2"/>
  <c r="CJ460" i="2"/>
  <c r="CK460" i="2"/>
  <c r="CL460" i="2"/>
  <c r="CM460" i="2"/>
  <c r="CN460" i="2"/>
  <c r="CO460" i="2"/>
  <c r="CP460" i="2"/>
  <c r="CQ460" i="2"/>
  <c r="CC461" i="2"/>
  <c r="CD461" i="2"/>
  <c r="CE461" i="2"/>
  <c r="CF461" i="2"/>
  <c r="CG461" i="2"/>
  <c r="CH461" i="2"/>
  <c r="CI461" i="2"/>
  <c r="CJ461" i="2"/>
  <c r="CK461" i="2"/>
  <c r="CL461" i="2"/>
  <c r="CM461" i="2"/>
  <c r="CN461" i="2"/>
  <c r="CO461" i="2"/>
  <c r="CP461" i="2"/>
  <c r="CQ461" i="2"/>
  <c r="CC462" i="2"/>
  <c r="CD462" i="2"/>
  <c r="CE462" i="2"/>
  <c r="CF462" i="2"/>
  <c r="CG462" i="2"/>
  <c r="CH462" i="2"/>
  <c r="CI462" i="2"/>
  <c r="CJ462" i="2"/>
  <c r="CK462" i="2"/>
  <c r="CL462" i="2"/>
  <c r="CM462" i="2"/>
  <c r="CN462" i="2"/>
  <c r="CO462" i="2"/>
  <c r="CP462" i="2"/>
  <c r="CQ462" i="2"/>
  <c r="CC463" i="2"/>
  <c r="CD463" i="2"/>
  <c r="CE463" i="2"/>
  <c r="CF463" i="2"/>
  <c r="CG463" i="2"/>
  <c r="CH463" i="2"/>
  <c r="CI463" i="2"/>
  <c r="CJ463" i="2"/>
  <c r="CK463" i="2"/>
  <c r="CL463" i="2"/>
  <c r="CM463" i="2"/>
  <c r="CN463" i="2"/>
  <c r="CO463" i="2"/>
  <c r="CP463" i="2"/>
  <c r="CQ463" i="2"/>
  <c r="CC464" i="2"/>
  <c r="CD464" i="2"/>
  <c r="CE464" i="2"/>
  <c r="CF464" i="2"/>
  <c r="CG464" i="2"/>
  <c r="CH464" i="2"/>
  <c r="CI464" i="2"/>
  <c r="CJ464" i="2"/>
  <c r="CK464" i="2"/>
  <c r="CL464" i="2"/>
  <c r="CM464" i="2"/>
  <c r="CN464" i="2"/>
  <c r="CO464" i="2"/>
  <c r="CP464" i="2"/>
  <c r="CQ464" i="2"/>
  <c r="CC465" i="2"/>
  <c r="CD465" i="2"/>
  <c r="CE465" i="2"/>
  <c r="CF465" i="2"/>
  <c r="CG465" i="2"/>
  <c r="CH465" i="2"/>
  <c r="CI465" i="2"/>
  <c r="CJ465" i="2"/>
  <c r="CK465" i="2"/>
  <c r="CL465" i="2"/>
  <c r="CM465" i="2"/>
  <c r="CN465" i="2"/>
  <c r="CO465" i="2"/>
  <c r="CP465" i="2"/>
  <c r="CQ465" i="2"/>
  <c r="CC466" i="2"/>
  <c r="CD466" i="2"/>
  <c r="CE466" i="2"/>
  <c r="CF466" i="2"/>
  <c r="CG466" i="2"/>
  <c r="CH466" i="2"/>
  <c r="CI466" i="2"/>
  <c r="CJ466" i="2"/>
  <c r="CK466" i="2"/>
  <c r="CL466" i="2"/>
  <c r="CM466" i="2"/>
  <c r="CN466" i="2"/>
  <c r="CO466" i="2"/>
  <c r="CP466" i="2"/>
  <c r="CQ466" i="2"/>
  <c r="CC467" i="2"/>
  <c r="CD467" i="2"/>
  <c r="CE467" i="2"/>
  <c r="CF467" i="2"/>
  <c r="CG467" i="2"/>
  <c r="CH467" i="2"/>
  <c r="CI467" i="2"/>
  <c r="CJ467" i="2"/>
  <c r="CK467" i="2"/>
  <c r="CL467" i="2"/>
  <c r="CM467" i="2"/>
  <c r="CN467" i="2"/>
  <c r="CO467" i="2"/>
  <c r="CP467" i="2"/>
  <c r="CQ467" i="2"/>
  <c r="CC468" i="2"/>
  <c r="CD468" i="2"/>
  <c r="CE468" i="2"/>
  <c r="CF468" i="2"/>
  <c r="CG468" i="2"/>
  <c r="CH468" i="2"/>
  <c r="CI468" i="2"/>
  <c r="CJ468" i="2"/>
  <c r="CK468" i="2"/>
  <c r="CL468" i="2"/>
  <c r="CM468" i="2"/>
  <c r="CN468" i="2"/>
  <c r="CO468" i="2"/>
  <c r="CP468" i="2"/>
  <c r="CQ468" i="2"/>
  <c r="CC469" i="2"/>
  <c r="CD469" i="2"/>
  <c r="CE469" i="2"/>
  <c r="CF469" i="2"/>
  <c r="CG469" i="2"/>
  <c r="CH469" i="2"/>
  <c r="CI469" i="2"/>
  <c r="CJ469" i="2"/>
  <c r="CK469" i="2"/>
  <c r="CL469" i="2"/>
  <c r="CM469" i="2"/>
  <c r="CN469" i="2"/>
  <c r="CO469" i="2"/>
  <c r="CP469" i="2"/>
  <c r="CQ469" i="2"/>
  <c r="CC470" i="2"/>
  <c r="CD470" i="2"/>
  <c r="CE470" i="2"/>
  <c r="CF470" i="2"/>
  <c r="CG470" i="2"/>
  <c r="CH470" i="2"/>
  <c r="CI470" i="2"/>
  <c r="CJ470" i="2"/>
  <c r="CK470" i="2"/>
  <c r="CL470" i="2"/>
  <c r="CM470" i="2"/>
  <c r="CN470" i="2"/>
  <c r="CO470" i="2"/>
  <c r="CP470" i="2"/>
  <c r="CQ470" i="2"/>
  <c r="CC471" i="2"/>
  <c r="CD471" i="2"/>
  <c r="CE471" i="2"/>
  <c r="CF471" i="2"/>
  <c r="CG471" i="2"/>
  <c r="CH471" i="2"/>
  <c r="CI471" i="2"/>
  <c r="CJ471" i="2"/>
  <c r="CK471" i="2"/>
  <c r="CL471" i="2"/>
  <c r="CM471" i="2"/>
  <c r="CN471" i="2"/>
  <c r="CO471" i="2"/>
  <c r="CP471" i="2"/>
  <c r="CQ471" i="2"/>
  <c r="CC472" i="2"/>
  <c r="CD472" i="2"/>
  <c r="CE472" i="2"/>
  <c r="CF472" i="2"/>
  <c r="CG472" i="2"/>
  <c r="CH472" i="2"/>
  <c r="CI472" i="2"/>
  <c r="CJ472" i="2"/>
  <c r="CK472" i="2"/>
  <c r="CL472" i="2"/>
  <c r="CM472" i="2"/>
  <c r="CN472" i="2"/>
  <c r="CO472" i="2"/>
  <c r="CP472" i="2"/>
  <c r="CQ472" i="2"/>
  <c r="CC473" i="2"/>
  <c r="CD473" i="2"/>
  <c r="CE473" i="2"/>
  <c r="CF473" i="2"/>
  <c r="CG473" i="2"/>
  <c r="CH473" i="2"/>
  <c r="CI473" i="2"/>
  <c r="CJ473" i="2"/>
  <c r="CK473" i="2"/>
  <c r="CL473" i="2"/>
  <c r="CM473" i="2"/>
  <c r="CN473" i="2"/>
  <c r="CO473" i="2"/>
  <c r="CP473" i="2"/>
  <c r="CQ473" i="2"/>
  <c r="CC474" i="2"/>
  <c r="CD474" i="2"/>
  <c r="CE474" i="2"/>
  <c r="CF474" i="2"/>
  <c r="CG474" i="2"/>
  <c r="CH474" i="2"/>
  <c r="CI474" i="2"/>
  <c r="CJ474" i="2"/>
  <c r="CK474" i="2"/>
  <c r="CL474" i="2"/>
  <c r="CM474" i="2"/>
  <c r="CN474" i="2"/>
  <c r="CO474" i="2"/>
  <c r="CP474" i="2"/>
  <c r="CQ474" i="2"/>
  <c r="CC475" i="2"/>
  <c r="CD475" i="2"/>
  <c r="CE475" i="2"/>
  <c r="CF475" i="2"/>
  <c r="CG475" i="2"/>
  <c r="CH475" i="2"/>
  <c r="CI475" i="2"/>
  <c r="CJ475" i="2"/>
  <c r="CK475" i="2"/>
  <c r="CL475" i="2"/>
  <c r="CM475" i="2"/>
  <c r="CN475" i="2"/>
  <c r="CO475" i="2"/>
  <c r="CP475" i="2"/>
  <c r="CQ475" i="2"/>
  <c r="CC476" i="2"/>
  <c r="CD476" i="2"/>
  <c r="CE476" i="2"/>
  <c r="CF476" i="2"/>
  <c r="CG476" i="2"/>
  <c r="CH476" i="2"/>
  <c r="CI476" i="2"/>
  <c r="CJ476" i="2"/>
  <c r="CK476" i="2"/>
  <c r="CL476" i="2"/>
  <c r="CM476" i="2"/>
  <c r="CN476" i="2"/>
  <c r="CO476" i="2"/>
  <c r="CP476" i="2"/>
  <c r="CQ476" i="2"/>
  <c r="CC477" i="2"/>
  <c r="CD477" i="2"/>
  <c r="CE477" i="2"/>
  <c r="CF477" i="2"/>
  <c r="CG477" i="2"/>
  <c r="CH477" i="2"/>
  <c r="CI477" i="2"/>
  <c r="CJ477" i="2"/>
  <c r="CK477" i="2"/>
  <c r="CL477" i="2"/>
  <c r="CM477" i="2"/>
  <c r="CN477" i="2"/>
  <c r="CO477" i="2"/>
  <c r="CP477" i="2"/>
  <c r="CQ477" i="2"/>
  <c r="CC478" i="2"/>
  <c r="CD478" i="2"/>
  <c r="CE478" i="2"/>
  <c r="CF478" i="2"/>
  <c r="CG478" i="2"/>
  <c r="CH478" i="2"/>
  <c r="CI478" i="2"/>
  <c r="CJ478" i="2"/>
  <c r="CK478" i="2"/>
  <c r="CL478" i="2"/>
  <c r="CM478" i="2"/>
  <c r="CN478" i="2"/>
  <c r="CO478" i="2"/>
  <c r="CP478" i="2"/>
  <c r="CQ478" i="2"/>
  <c r="CC479" i="2"/>
  <c r="CD479" i="2"/>
  <c r="CE479" i="2"/>
  <c r="CF479" i="2"/>
  <c r="CG479" i="2"/>
  <c r="CH479" i="2"/>
  <c r="CI479" i="2"/>
  <c r="CJ479" i="2"/>
  <c r="CK479" i="2"/>
  <c r="CL479" i="2"/>
  <c r="CM479" i="2"/>
  <c r="CN479" i="2"/>
  <c r="CO479" i="2"/>
  <c r="CP479" i="2"/>
  <c r="CQ479" i="2"/>
  <c r="CC480" i="2"/>
  <c r="CD480" i="2"/>
  <c r="CE480" i="2"/>
  <c r="CF480" i="2"/>
  <c r="CG480" i="2"/>
  <c r="CH480" i="2"/>
  <c r="CI480" i="2"/>
  <c r="CJ480" i="2"/>
  <c r="CK480" i="2"/>
  <c r="CL480" i="2"/>
  <c r="CM480" i="2"/>
  <c r="CN480" i="2"/>
  <c r="CO480" i="2"/>
  <c r="CP480" i="2"/>
  <c r="CQ480" i="2"/>
  <c r="CC481" i="2"/>
  <c r="CD481" i="2"/>
  <c r="CE481" i="2"/>
  <c r="CF481" i="2"/>
  <c r="CG481" i="2"/>
  <c r="CH481" i="2"/>
  <c r="CI481" i="2"/>
  <c r="CJ481" i="2"/>
  <c r="CK481" i="2"/>
  <c r="CL481" i="2"/>
  <c r="CM481" i="2"/>
  <c r="CN481" i="2"/>
  <c r="CO481" i="2"/>
  <c r="CP481" i="2"/>
  <c r="CQ481" i="2"/>
  <c r="CC482" i="2"/>
  <c r="CD482" i="2"/>
  <c r="CE482" i="2"/>
  <c r="CF482" i="2"/>
  <c r="CG482" i="2"/>
  <c r="CH482" i="2"/>
  <c r="CI482" i="2"/>
  <c r="CJ482" i="2"/>
  <c r="CK482" i="2"/>
  <c r="CL482" i="2"/>
  <c r="CM482" i="2"/>
  <c r="CN482" i="2"/>
  <c r="CO482" i="2"/>
  <c r="CP482" i="2"/>
  <c r="CQ482" i="2"/>
  <c r="CC483" i="2"/>
  <c r="CD483" i="2"/>
  <c r="CE483" i="2"/>
  <c r="CF483" i="2"/>
  <c r="CG483" i="2"/>
  <c r="CH483" i="2"/>
  <c r="CI483" i="2"/>
  <c r="CJ483" i="2"/>
  <c r="CK483" i="2"/>
  <c r="CL483" i="2"/>
  <c r="CM483" i="2"/>
  <c r="CN483" i="2"/>
  <c r="CO483" i="2"/>
  <c r="CP483" i="2"/>
  <c r="CQ483" i="2"/>
  <c r="CC484" i="2"/>
  <c r="CD484" i="2"/>
  <c r="CE484" i="2"/>
  <c r="CF484" i="2"/>
  <c r="CG484" i="2"/>
  <c r="CH484" i="2"/>
  <c r="CI484" i="2"/>
  <c r="CJ484" i="2"/>
  <c r="CK484" i="2"/>
  <c r="CL484" i="2"/>
  <c r="CM484" i="2"/>
  <c r="CN484" i="2"/>
  <c r="CO484" i="2"/>
  <c r="CP484" i="2"/>
  <c r="CQ484" i="2"/>
  <c r="CC485" i="2"/>
  <c r="CD485" i="2"/>
  <c r="CE485" i="2"/>
  <c r="CF485" i="2"/>
  <c r="CG485" i="2"/>
  <c r="CH485" i="2"/>
  <c r="CI485" i="2"/>
  <c r="CJ485" i="2"/>
  <c r="CK485" i="2"/>
  <c r="CL485" i="2"/>
  <c r="CM485" i="2"/>
  <c r="CN485" i="2"/>
  <c r="CO485" i="2"/>
  <c r="CP485" i="2"/>
  <c r="CQ485" i="2"/>
  <c r="CC486" i="2"/>
  <c r="CD486" i="2"/>
  <c r="CE486" i="2"/>
  <c r="CF486" i="2"/>
  <c r="CG486" i="2"/>
  <c r="CH486" i="2"/>
  <c r="CI486" i="2"/>
  <c r="CJ486" i="2"/>
  <c r="CK486" i="2"/>
  <c r="CL486" i="2"/>
  <c r="CM486" i="2"/>
  <c r="CN486" i="2"/>
  <c r="CO486" i="2"/>
  <c r="CP486" i="2"/>
  <c r="CQ486" i="2"/>
  <c r="CC487" i="2"/>
  <c r="CD487" i="2"/>
  <c r="CE487" i="2"/>
  <c r="CF487" i="2"/>
  <c r="CG487" i="2"/>
  <c r="CH487" i="2"/>
  <c r="CI487" i="2"/>
  <c r="CJ487" i="2"/>
  <c r="CK487" i="2"/>
  <c r="CL487" i="2"/>
  <c r="CM487" i="2"/>
  <c r="CN487" i="2"/>
  <c r="CO487" i="2"/>
  <c r="CP487" i="2"/>
  <c r="CQ487" i="2"/>
  <c r="CC488" i="2"/>
  <c r="CD488" i="2"/>
  <c r="CE488" i="2"/>
  <c r="CF488" i="2"/>
  <c r="CG488" i="2"/>
  <c r="CH488" i="2"/>
  <c r="CI488" i="2"/>
  <c r="CJ488" i="2"/>
  <c r="CK488" i="2"/>
  <c r="CL488" i="2"/>
  <c r="CM488" i="2"/>
  <c r="CN488" i="2"/>
  <c r="CO488" i="2"/>
  <c r="CP488" i="2"/>
  <c r="CQ488" i="2"/>
  <c r="CC489" i="2"/>
  <c r="CD489" i="2"/>
  <c r="CE489" i="2"/>
  <c r="CF489" i="2"/>
  <c r="CG489" i="2"/>
  <c r="CH489" i="2"/>
  <c r="CI489" i="2"/>
  <c r="CJ489" i="2"/>
  <c r="CK489" i="2"/>
  <c r="CL489" i="2"/>
  <c r="CM489" i="2"/>
  <c r="CN489" i="2"/>
  <c r="CO489" i="2"/>
  <c r="CP489" i="2"/>
  <c r="CQ489" i="2"/>
  <c r="CC490" i="2"/>
  <c r="CD490" i="2"/>
  <c r="CE490" i="2"/>
  <c r="CF490" i="2"/>
  <c r="CG490" i="2"/>
  <c r="CH490" i="2"/>
  <c r="CI490" i="2"/>
  <c r="CJ490" i="2"/>
  <c r="CK490" i="2"/>
  <c r="CL490" i="2"/>
  <c r="CM490" i="2"/>
  <c r="CN490" i="2"/>
  <c r="CO490" i="2"/>
  <c r="CP490" i="2"/>
  <c r="CQ490" i="2"/>
  <c r="CC491" i="2"/>
  <c r="CD491" i="2"/>
  <c r="CE491" i="2"/>
  <c r="CF491" i="2"/>
  <c r="CG491" i="2"/>
  <c r="CH491" i="2"/>
  <c r="CI491" i="2"/>
  <c r="CJ491" i="2"/>
  <c r="CK491" i="2"/>
  <c r="CL491" i="2"/>
  <c r="CM491" i="2"/>
  <c r="CN491" i="2"/>
  <c r="CO491" i="2"/>
  <c r="CP491" i="2"/>
  <c r="CQ491" i="2"/>
  <c r="CC492" i="2"/>
  <c r="CD492" i="2"/>
  <c r="CE492" i="2"/>
  <c r="CF492" i="2"/>
  <c r="CG492" i="2"/>
  <c r="CH492" i="2"/>
  <c r="CI492" i="2"/>
  <c r="CJ492" i="2"/>
  <c r="CK492" i="2"/>
  <c r="CL492" i="2"/>
  <c r="CM492" i="2"/>
  <c r="CN492" i="2"/>
  <c r="CO492" i="2"/>
  <c r="CP492" i="2"/>
  <c r="CQ492" i="2"/>
  <c r="CC493" i="2"/>
  <c r="CD493" i="2"/>
  <c r="CE493" i="2"/>
  <c r="CF493" i="2"/>
  <c r="CG493" i="2"/>
  <c r="CH493" i="2"/>
  <c r="CI493" i="2"/>
  <c r="CJ493" i="2"/>
  <c r="CK493" i="2"/>
  <c r="CL493" i="2"/>
  <c r="CM493" i="2"/>
  <c r="CN493" i="2"/>
  <c r="CO493" i="2"/>
  <c r="CP493" i="2"/>
  <c r="CQ493" i="2"/>
  <c r="CC494" i="2"/>
  <c r="CD494" i="2"/>
  <c r="CE494" i="2"/>
  <c r="CF494" i="2"/>
  <c r="CG494" i="2"/>
  <c r="CH494" i="2"/>
  <c r="CI494" i="2"/>
  <c r="CJ494" i="2"/>
  <c r="CK494" i="2"/>
  <c r="CL494" i="2"/>
  <c r="CM494" i="2"/>
  <c r="CN494" i="2"/>
  <c r="CO494" i="2"/>
  <c r="CP494" i="2"/>
  <c r="CQ494" i="2"/>
  <c r="CC495" i="2"/>
  <c r="CD495" i="2"/>
  <c r="CE495" i="2"/>
  <c r="CF495" i="2"/>
  <c r="CG495" i="2"/>
  <c r="CH495" i="2"/>
  <c r="CI495" i="2"/>
  <c r="CJ495" i="2"/>
  <c r="CK495" i="2"/>
  <c r="CL495" i="2"/>
  <c r="CM495" i="2"/>
  <c r="CN495" i="2"/>
  <c r="CO495" i="2"/>
  <c r="CP495" i="2"/>
  <c r="CQ495" i="2"/>
  <c r="CC496" i="2"/>
  <c r="CD496" i="2"/>
  <c r="CE496" i="2"/>
  <c r="CF496" i="2"/>
  <c r="CG496" i="2"/>
  <c r="CH496" i="2"/>
  <c r="CI496" i="2"/>
  <c r="CJ496" i="2"/>
  <c r="CK496" i="2"/>
  <c r="CL496" i="2"/>
  <c r="CM496" i="2"/>
  <c r="CN496" i="2"/>
  <c r="CO496" i="2"/>
  <c r="CP496" i="2"/>
  <c r="CQ496" i="2"/>
  <c r="CC497" i="2"/>
  <c r="CD497" i="2"/>
  <c r="CE497" i="2"/>
  <c r="CF497" i="2"/>
  <c r="CG497" i="2"/>
  <c r="CH497" i="2"/>
  <c r="CI497" i="2"/>
  <c r="CJ497" i="2"/>
  <c r="CK497" i="2"/>
  <c r="CL497" i="2"/>
  <c r="CM497" i="2"/>
  <c r="CN497" i="2"/>
  <c r="CO497" i="2"/>
  <c r="CP497" i="2"/>
  <c r="CQ497" i="2"/>
  <c r="CC498" i="2"/>
  <c r="CD498" i="2"/>
  <c r="CE498" i="2"/>
  <c r="CF498" i="2"/>
  <c r="CG498" i="2"/>
  <c r="CH498" i="2"/>
  <c r="CI498" i="2"/>
  <c r="CJ498" i="2"/>
  <c r="CK498" i="2"/>
  <c r="CL498" i="2"/>
  <c r="CM498" i="2"/>
  <c r="CN498" i="2"/>
  <c r="CO498" i="2"/>
  <c r="CP498" i="2"/>
  <c r="CQ498" i="2"/>
  <c r="CC499" i="2"/>
  <c r="CD499" i="2"/>
  <c r="CE499" i="2"/>
  <c r="CF499" i="2"/>
  <c r="CG499" i="2"/>
  <c r="CH499" i="2"/>
  <c r="CI499" i="2"/>
  <c r="CJ499" i="2"/>
  <c r="CK499" i="2"/>
  <c r="CL499" i="2"/>
  <c r="CM499" i="2"/>
  <c r="CN499" i="2"/>
  <c r="CO499" i="2"/>
  <c r="CP499" i="2"/>
  <c r="CQ499" i="2"/>
  <c r="CC500" i="2"/>
  <c r="CD500" i="2"/>
  <c r="CE500" i="2"/>
  <c r="CF500" i="2"/>
  <c r="CG500" i="2"/>
  <c r="CH500" i="2"/>
  <c r="CI500" i="2"/>
  <c r="CJ500" i="2"/>
  <c r="CK500" i="2"/>
  <c r="CL500" i="2"/>
  <c r="CM500" i="2"/>
  <c r="CN500" i="2"/>
  <c r="CO500" i="2"/>
  <c r="CP500" i="2"/>
  <c r="CQ500" i="2"/>
  <c r="CC501" i="2"/>
  <c r="CD501" i="2"/>
  <c r="CE501" i="2"/>
  <c r="CF501" i="2"/>
  <c r="CG501" i="2"/>
  <c r="CH501" i="2"/>
  <c r="CI501" i="2"/>
  <c r="CJ501" i="2"/>
  <c r="CK501" i="2"/>
  <c r="CL501" i="2"/>
  <c r="CM501" i="2"/>
  <c r="CN501" i="2"/>
  <c r="CO501" i="2"/>
  <c r="CP501" i="2"/>
  <c r="CQ501" i="2"/>
  <c r="CC502" i="2"/>
  <c r="CD502" i="2"/>
  <c r="CE502" i="2"/>
  <c r="CF502" i="2"/>
  <c r="CG502" i="2"/>
  <c r="CH502" i="2"/>
  <c r="CI502" i="2"/>
  <c r="CJ502" i="2"/>
  <c r="CK502" i="2"/>
  <c r="CL502" i="2"/>
  <c r="CM502" i="2"/>
  <c r="CN502" i="2"/>
  <c r="CO502" i="2"/>
  <c r="CP502" i="2"/>
  <c r="CQ502" i="2"/>
  <c r="CC503" i="2"/>
  <c r="CD503" i="2"/>
  <c r="CE503" i="2"/>
  <c r="CF503" i="2"/>
  <c r="CG503" i="2"/>
  <c r="CH503" i="2"/>
  <c r="CI503" i="2"/>
  <c r="CJ503" i="2"/>
  <c r="CK503" i="2"/>
  <c r="CL503" i="2"/>
  <c r="CM503" i="2"/>
  <c r="CN503" i="2"/>
  <c r="CO503" i="2"/>
  <c r="CP503" i="2"/>
  <c r="CQ503" i="2"/>
  <c r="CC504" i="2"/>
  <c r="CD504" i="2"/>
  <c r="CE504" i="2"/>
  <c r="CF504" i="2"/>
  <c r="CG504" i="2"/>
  <c r="CH504" i="2"/>
  <c r="CI504" i="2"/>
  <c r="CJ504" i="2"/>
  <c r="CK504" i="2"/>
  <c r="CL504" i="2"/>
  <c r="CM504" i="2"/>
  <c r="CN504" i="2"/>
  <c r="CO504" i="2"/>
  <c r="CP504" i="2"/>
  <c r="CQ504" i="2"/>
  <c r="CC505" i="2"/>
  <c r="CD505" i="2"/>
  <c r="CE505" i="2"/>
  <c r="CF505" i="2"/>
  <c r="CG505" i="2"/>
  <c r="CH505" i="2"/>
  <c r="CI505" i="2"/>
  <c r="CJ505" i="2"/>
  <c r="CK505" i="2"/>
  <c r="CL505" i="2"/>
  <c r="CM505" i="2"/>
  <c r="CN505" i="2"/>
  <c r="CO505" i="2"/>
  <c r="CP505" i="2"/>
  <c r="CQ505" i="2"/>
  <c r="CC506" i="2"/>
  <c r="CD506" i="2"/>
  <c r="CE506" i="2"/>
  <c r="CF506" i="2"/>
  <c r="CG506" i="2"/>
  <c r="CH506" i="2"/>
  <c r="CI506" i="2"/>
  <c r="CJ506" i="2"/>
  <c r="CK506" i="2"/>
  <c r="CL506" i="2"/>
  <c r="CM506" i="2"/>
  <c r="CN506" i="2"/>
  <c r="CO506" i="2"/>
  <c r="CP506" i="2"/>
  <c r="CQ506" i="2"/>
  <c r="CC507" i="2"/>
  <c r="CD507" i="2"/>
  <c r="CE507" i="2"/>
  <c r="CF507" i="2"/>
  <c r="CG507" i="2"/>
  <c r="CH507" i="2"/>
  <c r="CI507" i="2"/>
  <c r="CJ507" i="2"/>
  <c r="CK507" i="2"/>
  <c r="CL507" i="2"/>
  <c r="CM507" i="2"/>
  <c r="CN507" i="2"/>
  <c r="CO507" i="2"/>
  <c r="CP507" i="2"/>
  <c r="CQ507" i="2"/>
  <c r="CC508" i="2"/>
  <c r="CD508" i="2"/>
  <c r="CE508" i="2"/>
  <c r="CF508" i="2"/>
  <c r="CG508" i="2"/>
  <c r="CH508" i="2"/>
  <c r="CI508" i="2"/>
  <c r="CJ508" i="2"/>
  <c r="CK508" i="2"/>
  <c r="CL508" i="2"/>
  <c r="CM508" i="2"/>
  <c r="CN508" i="2"/>
  <c r="CO508" i="2"/>
  <c r="CP508" i="2"/>
  <c r="CQ508" i="2"/>
  <c r="CC509" i="2"/>
  <c r="CD509" i="2"/>
  <c r="CE509" i="2"/>
  <c r="CF509" i="2"/>
  <c r="CG509" i="2"/>
  <c r="CH509" i="2"/>
  <c r="CI509" i="2"/>
  <c r="CJ509" i="2"/>
  <c r="CK509" i="2"/>
  <c r="CL509" i="2"/>
  <c r="CM509" i="2"/>
  <c r="CN509" i="2"/>
  <c r="CO509" i="2"/>
  <c r="CP509" i="2"/>
  <c r="CQ509" i="2"/>
  <c r="CC510" i="2"/>
  <c r="CD510" i="2"/>
  <c r="CE510" i="2"/>
  <c r="CF510" i="2"/>
  <c r="CG510" i="2"/>
  <c r="CH510" i="2"/>
  <c r="CI510" i="2"/>
  <c r="CJ510" i="2"/>
  <c r="CK510" i="2"/>
  <c r="CL510" i="2"/>
  <c r="CM510" i="2"/>
  <c r="CN510" i="2"/>
  <c r="CO510" i="2"/>
  <c r="CP510" i="2"/>
  <c r="CQ510" i="2"/>
  <c r="CC511" i="2"/>
  <c r="CD511" i="2"/>
  <c r="CE511" i="2"/>
  <c r="CF511" i="2"/>
  <c r="CG511" i="2"/>
  <c r="CH511" i="2"/>
  <c r="CI511" i="2"/>
  <c r="CJ511" i="2"/>
  <c r="CK511" i="2"/>
  <c r="CL511" i="2"/>
  <c r="CM511" i="2"/>
  <c r="CN511" i="2"/>
  <c r="CO511" i="2"/>
  <c r="CP511" i="2"/>
  <c r="CQ511" i="2"/>
  <c r="CC512" i="2"/>
  <c r="CD512" i="2"/>
  <c r="CE512" i="2"/>
  <c r="CF512" i="2"/>
  <c r="CG512" i="2"/>
  <c r="CH512" i="2"/>
  <c r="CI512" i="2"/>
  <c r="CJ512" i="2"/>
  <c r="CK512" i="2"/>
  <c r="CL512" i="2"/>
  <c r="CM512" i="2"/>
  <c r="CN512" i="2"/>
  <c r="CO512" i="2"/>
  <c r="CP512" i="2"/>
  <c r="CQ512" i="2"/>
  <c r="CC513" i="2"/>
  <c r="CD513" i="2"/>
  <c r="CE513" i="2"/>
  <c r="CF513" i="2"/>
  <c r="CG513" i="2"/>
  <c r="CH513" i="2"/>
  <c r="CI513" i="2"/>
  <c r="CJ513" i="2"/>
  <c r="CK513" i="2"/>
  <c r="CL513" i="2"/>
  <c r="CM513" i="2"/>
  <c r="CN513" i="2"/>
  <c r="CO513" i="2"/>
  <c r="CP513" i="2"/>
  <c r="CQ513" i="2"/>
  <c r="CC514" i="2"/>
  <c r="CD514" i="2"/>
  <c r="CE514" i="2"/>
  <c r="CF514" i="2"/>
  <c r="CG514" i="2"/>
  <c r="CH514" i="2"/>
  <c r="CI514" i="2"/>
  <c r="CJ514" i="2"/>
  <c r="CK514" i="2"/>
  <c r="CL514" i="2"/>
  <c r="CM514" i="2"/>
  <c r="CN514" i="2"/>
  <c r="CO514" i="2"/>
  <c r="CP514" i="2"/>
  <c r="CQ514" i="2"/>
  <c r="CC515" i="2"/>
  <c r="CD515" i="2"/>
  <c r="CE515" i="2"/>
  <c r="CF515" i="2"/>
  <c r="CG515" i="2"/>
  <c r="CH515" i="2"/>
  <c r="CI515" i="2"/>
  <c r="CJ515" i="2"/>
  <c r="CK515" i="2"/>
  <c r="CL515" i="2"/>
  <c r="CM515" i="2"/>
  <c r="CN515" i="2"/>
  <c r="CO515" i="2"/>
  <c r="CP515" i="2"/>
  <c r="CQ515" i="2"/>
  <c r="CC516" i="2"/>
  <c r="CD516" i="2"/>
  <c r="CE516" i="2"/>
  <c r="CF516" i="2"/>
  <c r="CG516" i="2"/>
  <c r="CH516" i="2"/>
  <c r="CI516" i="2"/>
  <c r="CJ516" i="2"/>
  <c r="CK516" i="2"/>
  <c r="CL516" i="2"/>
  <c r="CM516" i="2"/>
  <c r="CN516" i="2"/>
  <c r="CO516" i="2"/>
  <c r="CP516" i="2"/>
  <c r="CQ516" i="2"/>
  <c r="CC517" i="2"/>
  <c r="CD517" i="2"/>
  <c r="CE517" i="2"/>
  <c r="CF517" i="2"/>
  <c r="CG517" i="2"/>
  <c r="CH517" i="2"/>
  <c r="CI517" i="2"/>
  <c r="CJ517" i="2"/>
  <c r="CK517" i="2"/>
  <c r="CL517" i="2"/>
  <c r="CM517" i="2"/>
  <c r="CN517" i="2"/>
  <c r="CO517" i="2"/>
  <c r="CP517" i="2"/>
  <c r="CQ517" i="2"/>
  <c r="CC518" i="2"/>
  <c r="CD518" i="2"/>
  <c r="CE518" i="2"/>
  <c r="CF518" i="2"/>
  <c r="CG518" i="2"/>
  <c r="CH518" i="2"/>
  <c r="CI518" i="2"/>
  <c r="CJ518" i="2"/>
  <c r="CK518" i="2"/>
  <c r="CL518" i="2"/>
  <c r="CM518" i="2"/>
  <c r="CN518" i="2"/>
  <c r="CO518" i="2"/>
  <c r="CP518" i="2"/>
  <c r="CQ518" i="2"/>
  <c r="CC519" i="2"/>
  <c r="CD519" i="2"/>
  <c r="CE519" i="2"/>
  <c r="CF519" i="2"/>
  <c r="CG519" i="2"/>
  <c r="CH519" i="2"/>
  <c r="CI519" i="2"/>
  <c r="CJ519" i="2"/>
  <c r="CK519" i="2"/>
  <c r="CL519" i="2"/>
  <c r="CM519" i="2"/>
  <c r="CN519" i="2"/>
  <c r="CO519" i="2"/>
  <c r="CP519" i="2"/>
  <c r="CQ519" i="2"/>
  <c r="CC520" i="2"/>
  <c r="CD520" i="2"/>
  <c r="CE520" i="2"/>
  <c r="CF520" i="2"/>
  <c r="CG520" i="2"/>
  <c r="CH520" i="2"/>
  <c r="CI520" i="2"/>
  <c r="CJ520" i="2"/>
  <c r="CK520" i="2"/>
  <c r="CL520" i="2"/>
  <c r="CM520" i="2"/>
  <c r="CN520" i="2"/>
  <c r="CO520" i="2"/>
  <c r="CP520" i="2"/>
  <c r="CQ520" i="2"/>
  <c r="CC521" i="2"/>
  <c r="CD521" i="2"/>
  <c r="CE521" i="2"/>
  <c r="CF521" i="2"/>
  <c r="CG521" i="2"/>
  <c r="CH521" i="2"/>
  <c r="CI521" i="2"/>
  <c r="CJ521" i="2"/>
  <c r="CK521" i="2"/>
  <c r="CL521" i="2"/>
  <c r="CM521" i="2"/>
  <c r="CN521" i="2"/>
  <c r="CO521" i="2"/>
  <c r="CP521" i="2"/>
  <c r="CQ521" i="2"/>
  <c r="CC522" i="2"/>
  <c r="CD522" i="2"/>
  <c r="CE522" i="2"/>
  <c r="CF522" i="2"/>
  <c r="CG522" i="2"/>
  <c r="CH522" i="2"/>
  <c r="CI522" i="2"/>
  <c r="CJ522" i="2"/>
  <c r="CK522" i="2"/>
  <c r="CL522" i="2"/>
  <c r="CM522" i="2"/>
  <c r="CN522" i="2"/>
  <c r="CO522" i="2"/>
  <c r="CP522" i="2"/>
  <c r="CQ522" i="2"/>
  <c r="CC523" i="2"/>
  <c r="CD523" i="2"/>
  <c r="CE523" i="2"/>
  <c r="CF523" i="2"/>
  <c r="CG523" i="2"/>
  <c r="CH523" i="2"/>
  <c r="CI523" i="2"/>
  <c r="CJ523" i="2"/>
  <c r="CK523" i="2"/>
  <c r="CL523" i="2"/>
  <c r="CM523" i="2"/>
  <c r="CN523" i="2"/>
  <c r="CO523" i="2"/>
  <c r="CP523" i="2"/>
  <c r="CQ523" i="2"/>
  <c r="CC524" i="2"/>
  <c r="CD524" i="2"/>
  <c r="CE524" i="2"/>
  <c r="CF524" i="2"/>
  <c r="CG524" i="2"/>
  <c r="CH524" i="2"/>
  <c r="CI524" i="2"/>
  <c r="CJ524" i="2"/>
  <c r="CK524" i="2"/>
  <c r="CL524" i="2"/>
  <c r="CM524" i="2"/>
  <c r="CN524" i="2"/>
  <c r="CO524" i="2"/>
  <c r="CP524" i="2"/>
  <c r="CQ524" i="2"/>
  <c r="CC525" i="2"/>
  <c r="CD525" i="2"/>
  <c r="CE525" i="2"/>
  <c r="CF525" i="2"/>
  <c r="CG525" i="2"/>
  <c r="CH525" i="2"/>
  <c r="CI525" i="2"/>
  <c r="CJ525" i="2"/>
  <c r="CK525" i="2"/>
  <c r="CL525" i="2"/>
  <c r="CM525" i="2"/>
  <c r="CN525" i="2"/>
  <c r="CO525" i="2"/>
  <c r="CP525" i="2"/>
  <c r="CQ525" i="2"/>
  <c r="P37" i="2"/>
  <c r="L48" i="7"/>
  <c r="B46" i="7"/>
  <c r="B40" i="7"/>
  <c r="B19" i="7"/>
  <c r="B13" i="7"/>
  <c r="L8" i="7" s="1"/>
  <c r="B8" i="7"/>
  <c r="B40" i="6"/>
  <c r="B34" i="6"/>
  <c r="B28" i="6"/>
  <c r="L24" i="6"/>
  <c r="B12" i="6"/>
  <c r="B8" i="6"/>
  <c r="L5" i="6"/>
  <c r="B45" i="5"/>
  <c r="B44" i="5"/>
  <c r="B43" i="5"/>
  <c r="B42" i="5"/>
  <c r="B39" i="5"/>
  <c r="B38" i="5"/>
  <c r="L63" i="5" s="1"/>
  <c r="B37" i="5"/>
  <c r="B34" i="5"/>
  <c r="B33" i="5"/>
  <c r="B32" i="5"/>
  <c r="B19" i="5"/>
  <c r="B13" i="5"/>
  <c r="B8" i="5"/>
  <c r="B59" i="4"/>
  <c r="L72" i="4" s="1"/>
  <c r="B54" i="4"/>
  <c r="L71" i="4"/>
  <c r="B35" i="4"/>
  <c r="B29" i="4"/>
  <c r="L25" i="4"/>
  <c r="L14" i="4"/>
  <c r="B13" i="4"/>
  <c r="B8" i="4"/>
  <c r="B30" i="8"/>
  <c r="C28" i="8" s="1"/>
  <c r="D28" i="8" s="1"/>
  <c r="B13" i="8"/>
  <c r="L22" i="8" s="1"/>
  <c r="B9" i="8"/>
  <c r="B32" i="2"/>
  <c r="B26" i="2"/>
  <c r="P41" i="2"/>
  <c r="AB50" i="2" s="1"/>
  <c r="P40" i="2"/>
  <c r="P39" i="2"/>
  <c r="B46" i="5" l="1"/>
  <c r="C27" i="8"/>
  <c r="D27" i="8" s="1"/>
  <c r="C29" i="8"/>
  <c r="D29" i="8" s="1"/>
  <c r="AO56" i="2"/>
  <c r="AO55" i="2"/>
  <c r="BE60" i="2"/>
  <c r="BF52" i="2" s="1"/>
  <c r="CB88" i="2"/>
  <c r="AR30" i="2"/>
  <c r="AS29" i="2" s="1"/>
  <c r="AT29" i="2" s="1"/>
  <c r="BE15" i="2"/>
  <c r="BF7" i="2" s="1"/>
  <c r="BG7" i="2" s="1"/>
  <c r="AK15" i="2"/>
  <c r="BO71" i="2"/>
  <c r="BO73" i="2" s="1"/>
  <c r="BJ55" i="2" s="1"/>
  <c r="BI62" i="2" s="1"/>
  <c r="BJ56" i="2" s="1"/>
  <c r="CU14" i="2"/>
  <c r="CV5" i="2" s="1"/>
  <c r="CW5" i="2" s="1"/>
  <c r="BR40" i="2"/>
  <c r="DH20" i="2"/>
  <c r="DI5" i="2" s="1"/>
  <c r="DJ5" i="2" s="1"/>
  <c r="BR20" i="2"/>
  <c r="BS6" i="2" s="1"/>
  <c r="BT6" i="2" s="1"/>
  <c r="CS8" i="2"/>
  <c r="AR15" i="2"/>
  <c r="AS5" i="2" s="1"/>
  <c r="AT5" i="2" s="1"/>
  <c r="DH47" i="2"/>
  <c r="DE5" i="2"/>
  <c r="CB60" i="2"/>
  <c r="AK43" i="2"/>
  <c r="AO49" i="2" s="1"/>
  <c r="AK24" i="2"/>
  <c r="AO23" i="2"/>
  <c r="AO24" i="2" s="1"/>
  <c r="AO25" i="2" s="1"/>
  <c r="AF48" i="2"/>
  <c r="AF32" i="2"/>
  <c r="BB22" i="2"/>
  <c r="AO5" i="2"/>
  <c r="AO6" i="2" s="1"/>
  <c r="BE42" i="2"/>
  <c r="BF27" i="2" s="1"/>
  <c r="BG27" i="2" s="1"/>
  <c r="B48" i="7"/>
  <c r="C32" i="7" s="1"/>
  <c r="D32" i="7" s="1"/>
  <c r="B21" i="7"/>
  <c r="C6" i="7" s="1"/>
  <c r="D6" i="7" s="1"/>
  <c r="L74" i="4"/>
  <c r="Q55" i="4" s="1"/>
  <c r="F63" i="4" s="1"/>
  <c r="B43" i="4"/>
  <c r="C28" i="4" s="1"/>
  <c r="D28" i="4" s="1"/>
  <c r="B61" i="4"/>
  <c r="C53" i="4" s="1"/>
  <c r="B15" i="4"/>
  <c r="B40" i="5"/>
  <c r="B35" i="5"/>
  <c r="B15" i="8"/>
  <c r="C5" i="8" s="1"/>
  <c r="D5" i="8" s="1"/>
  <c r="CU41" i="2"/>
  <c r="BR35" i="2"/>
  <c r="BR46" i="2"/>
  <c r="AB23" i="2"/>
  <c r="DI6" i="2"/>
  <c r="DJ6" i="2" s="1"/>
  <c r="R29" i="2"/>
  <c r="B14" i="6"/>
  <c r="B42" i="6"/>
  <c r="L8" i="5"/>
  <c r="B21" i="5"/>
  <c r="C5" i="5" s="1"/>
  <c r="C26" i="6" l="1"/>
  <c r="D26" i="6" s="1"/>
  <c r="C27" i="6"/>
  <c r="D27" i="6" s="1"/>
  <c r="C25" i="6"/>
  <c r="D25" i="6" s="1"/>
  <c r="Q24" i="8"/>
  <c r="F35" i="8" s="1"/>
  <c r="Q25" i="8" s="1"/>
  <c r="BF6" i="2"/>
  <c r="BG6" i="2" s="1"/>
  <c r="AO57" i="2"/>
  <c r="DI7" i="2"/>
  <c r="DJ7" i="2" s="1"/>
  <c r="DL5" i="2" s="1"/>
  <c r="DM5" i="2" s="1"/>
  <c r="BF5" i="2"/>
  <c r="BG5" i="2" s="1"/>
  <c r="AS8" i="2"/>
  <c r="AT8" i="2" s="1"/>
  <c r="AS28" i="2"/>
  <c r="AT28" i="2" s="1"/>
  <c r="AS27" i="2"/>
  <c r="AT27" i="2" s="1"/>
  <c r="AW31" i="2" s="1"/>
  <c r="AO58" i="2"/>
  <c r="BJ53" i="2"/>
  <c r="BS7" i="2"/>
  <c r="BT7" i="2" s="1"/>
  <c r="BF28" i="2"/>
  <c r="BG28" i="2" s="1"/>
  <c r="CV7" i="2"/>
  <c r="CW7" i="2" s="1"/>
  <c r="BJ57" i="2"/>
  <c r="BI63" i="2" s="1"/>
  <c r="BO72" i="2"/>
  <c r="CV6" i="2"/>
  <c r="CW6" i="2" s="1"/>
  <c r="BS5" i="2"/>
  <c r="BT5" i="2" s="1"/>
  <c r="AJ36" i="2"/>
  <c r="AJ35" i="2"/>
  <c r="AJ34" i="2"/>
  <c r="DI34" i="2"/>
  <c r="DJ34" i="2" s="1"/>
  <c r="DI32" i="2"/>
  <c r="DJ32" i="2" s="1"/>
  <c r="DI33" i="2"/>
  <c r="DJ33" i="2" s="1"/>
  <c r="AJ50" i="2"/>
  <c r="AM44" i="2" s="1"/>
  <c r="AJ51" i="2"/>
  <c r="AS7" i="2"/>
  <c r="AT7" i="2" s="1"/>
  <c r="AS6" i="2"/>
  <c r="AT6" i="2" s="1"/>
  <c r="C34" i="7"/>
  <c r="D34" i="7" s="1"/>
  <c r="C33" i="7"/>
  <c r="D33" i="7" s="1"/>
  <c r="C7" i="7"/>
  <c r="D7" i="7" s="1"/>
  <c r="C5" i="7"/>
  <c r="D5" i="7" s="1"/>
  <c r="Q57" i="4"/>
  <c r="F64" i="4" s="1"/>
  <c r="C27" i="4"/>
  <c r="D27" i="4" s="1"/>
  <c r="F28" i="4" s="1"/>
  <c r="G28" i="4" s="1"/>
  <c r="L73" i="4"/>
  <c r="C7" i="4"/>
  <c r="D7" i="4" s="1"/>
  <c r="C6" i="4"/>
  <c r="D6" i="4" s="1"/>
  <c r="C5" i="4"/>
  <c r="D5" i="4" s="1"/>
  <c r="C6" i="8"/>
  <c r="D6" i="8" s="1"/>
  <c r="C8" i="8"/>
  <c r="D8" i="8" s="1"/>
  <c r="C7" i="8"/>
  <c r="D7" i="8" s="1"/>
  <c r="C6" i="6"/>
  <c r="C7" i="6"/>
  <c r="B48" i="5"/>
  <c r="C34" i="5" s="1"/>
  <c r="C6" i="5"/>
  <c r="C7" i="5"/>
  <c r="AO59" i="2"/>
  <c r="AO60" i="2"/>
  <c r="AO61" i="2" s="1"/>
  <c r="AO62" i="2" s="1"/>
  <c r="BR47" i="2"/>
  <c r="AB49" i="2"/>
  <c r="AB51" i="2" s="1"/>
  <c r="R30" i="2" s="1"/>
  <c r="CV26" i="2"/>
  <c r="CW26" i="2" s="1"/>
  <c r="CV25" i="2"/>
  <c r="CW25" i="2" s="1"/>
  <c r="CV27" i="2"/>
  <c r="CW27" i="2" s="1"/>
  <c r="F25" i="6" l="1"/>
  <c r="G25" i="6" s="1"/>
  <c r="F26" i="6"/>
  <c r="G26" i="6" s="1"/>
  <c r="F27" i="6"/>
  <c r="G27" i="6" s="1"/>
  <c r="E27" i="8"/>
  <c r="Q26" i="8"/>
  <c r="F36" i="8" s="1"/>
  <c r="E29" i="8"/>
  <c r="E28" i="8"/>
  <c r="F5" i="8"/>
  <c r="F6" i="8"/>
  <c r="G6" i="8" s="1"/>
  <c r="F7" i="8"/>
  <c r="G7" i="8" s="1"/>
  <c r="F8" i="8"/>
  <c r="G8" i="8" s="1"/>
  <c r="L4" i="8" s="1"/>
  <c r="BI6" i="2"/>
  <c r="BJ6" i="2" s="1"/>
  <c r="BI5" i="2"/>
  <c r="BJ5" i="2" s="1"/>
  <c r="BO4" i="2" s="1"/>
  <c r="BI7" i="2"/>
  <c r="BJ7" i="2" s="1"/>
  <c r="BO5" i="2" s="1"/>
  <c r="BI27" i="2"/>
  <c r="BJ27" i="2" s="1"/>
  <c r="AV7" i="2"/>
  <c r="AW7" i="2" s="1"/>
  <c r="DL7" i="2"/>
  <c r="DM7" i="2" s="1"/>
  <c r="DL6" i="2"/>
  <c r="DM6" i="2" s="1"/>
  <c r="DM10" i="2" s="1"/>
  <c r="BI28" i="2"/>
  <c r="BJ28" i="2" s="1"/>
  <c r="BV5" i="2"/>
  <c r="BW5" i="2" s="1"/>
  <c r="CY7" i="2"/>
  <c r="CZ7" i="2" s="1"/>
  <c r="BV7" i="2"/>
  <c r="BW7" i="2" s="1"/>
  <c r="CB5" i="2" s="1"/>
  <c r="BV6" i="2"/>
  <c r="BW6" i="2" s="1"/>
  <c r="DL32" i="2"/>
  <c r="DM32" i="2" s="1"/>
  <c r="CY6" i="2"/>
  <c r="CZ6" i="2" s="1"/>
  <c r="CY5" i="2"/>
  <c r="CZ5" i="2" s="1"/>
  <c r="AV6" i="2"/>
  <c r="AW6" i="2" s="1"/>
  <c r="DL33" i="2"/>
  <c r="DM33" i="2" s="1"/>
  <c r="DL34" i="2"/>
  <c r="DM34" i="2" s="1"/>
  <c r="AV8" i="2"/>
  <c r="AW8" i="2" s="1"/>
  <c r="BB4" i="2" s="1"/>
  <c r="AV5" i="2"/>
  <c r="AW5" i="2" s="1"/>
  <c r="AM17" i="2"/>
  <c r="AM27" i="2"/>
  <c r="AM14" i="2"/>
  <c r="AM20" i="2"/>
  <c r="AM26" i="2"/>
  <c r="AM23" i="2"/>
  <c r="F34" i="7"/>
  <c r="G34" i="7" s="1"/>
  <c r="F32" i="7"/>
  <c r="G32" i="7" s="1"/>
  <c r="F33" i="7"/>
  <c r="G33" i="7" s="1"/>
  <c r="F5" i="7"/>
  <c r="G5" i="7" s="1"/>
  <c r="F6" i="7"/>
  <c r="G6" i="7" s="1"/>
  <c r="F7" i="7"/>
  <c r="G7" i="7" s="1"/>
  <c r="F27" i="4"/>
  <c r="G27" i="4" s="1"/>
  <c r="Q30" i="4" s="1"/>
  <c r="Q56" i="4"/>
  <c r="Q53" i="4"/>
  <c r="F7" i="4"/>
  <c r="F5" i="4"/>
  <c r="G5" i="4" s="1"/>
  <c r="F6" i="4"/>
  <c r="G6" i="4" s="1"/>
  <c r="D5" i="6"/>
  <c r="G7" i="6"/>
  <c r="D7" i="6"/>
  <c r="G6" i="6"/>
  <c r="D6" i="6"/>
  <c r="C32" i="5"/>
  <c r="D32" i="5" s="1"/>
  <c r="C33" i="5"/>
  <c r="D33" i="5" s="1"/>
  <c r="D34" i="5"/>
  <c r="D6" i="5"/>
  <c r="D5" i="5"/>
  <c r="D7" i="5"/>
  <c r="AV35" i="2"/>
  <c r="AW33" i="2"/>
  <c r="AV36" i="2" s="1"/>
  <c r="CY27" i="2"/>
  <c r="CZ27" i="2" s="1"/>
  <c r="CY26" i="2"/>
  <c r="CZ26" i="2" s="1"/>
  <c r="BS34" i="2"/>
  <c r="BT34" i="2" s="1"/>
  <c r="BS33" i="2"/>
  <c r="BT33" i="2" s="1"/>
  <c r="BS32" i="2"/>
  <c r="BT32" i="2" s="1"/>
  <c r="CY25" i="2"/>
  <c r="CZ25" i="2" s="1"/>
  <c r="Q37" i="7" l="1"/>
  <c r="L53" i="7" s="1"/>
  <c r="L54" i="7" s="1"/>
  <c r="Q29" i="6"/>
  <c r="Q31" i="6" s="1"/>
  <c r="F32" i="5"/>
  <c r="G32" i="5" s="1"/>
  <c r="F5" i="5"/>
  <c r="G5" i="5" s="1"/>
  <c r="F34" i="5"/>
  <c r="G34" i="5" s="1"/>
  <c r="L55" i="5" s="1"/>
  <c r="F33" i="5"/>
  <c r="G33" i="5" s="1"/>
  <c r="F6" i="5"/>
  <c r="G6" i="5" s="1"/>
  <c r="F7" i="5"/>
  <c r="G7" i="5" s="1"/>
  <c r="L5" i="5" s="1"/>
  <c r="BJ30" i="2"/>
  <c r="BO24" i="2" s="1"/>
  <c r="BO27" i="2" s="1"/>
  <c r="DM12" i="2"/>
  <c r="DR7" i="2"/>
  <c r="DR10" i="2" s="1"/>
  <c r="DM14" i="2" s="1"/>
  <c r="CB4" i="2"/>
  <c r="CB6" i="2" s="1"/>
  <c r="BW8" i="2" s="1"/>
  <c r="BW10" i="2" s="1"/>
  <c r="CB9" i="2" s="1"/>
  <c r="BB9" i="2"/>
  <c r="CZ9" i="2"/>
  <c r="BB5" i="2"/>
  <c r="BB6" i="2" s="1"/>
  <c r="BB10" i="2" s="1"/>
  <c r="AW11" i="2" s="1"/>
  <c r="DM37" i="2"/>
  <c r="Q10" i="7"/>
  <c r="Q12" i="7" s="1"/>
  <c r="L24" i="4"/>
  <c r="L27" i="4" s="1"/>
  <c r="Q34" i="4" s="1"/>
  <c r="L51" i="4" s="1"/>
  <c r="L52" i="4" s="1"/>
  <c r="Q32" i="4"/>
  <c r="G7" i="4"/>
  <c r="Q10" i="4" s="1"/>
  <c r="L4" i="4"/>
  <c r="BV32" i="2"/>
  <c r="BW32" i="2" s="1"/>
  <c r="CZ29" i="2"/>
  <c r="AW32" i="2"/>
  <c r="AU29" i="2"/>
  <c r="AU27" i="2"/>
  <c r="AU28" i="2"/>
  <c r="BO6" i="2"/>
  <c r="BJ8" i="2" s="1"/>
  <c r="BJ10" i="2" s="1"/>
  <c r="BV33" i="2"/>
  <c r="BW33" i="2" s="1"/>
  <c r="BV34" i="2"/>
  <c r="BW34" i="2" s="1"/>
  <c r="L46" i="7" l="1"/>
  <c r="L47" i="7"/>
  <c r="L51" i="7" s="1"/>
  <c r="Q39" i="7"/>
  <c r="L42" i="7"/>
  <c r="L45" i="7" s="1"/>
  <c r="L55" i="7" s="1"/>
  <c r="L56" i="7" s="1"/>
  <c r="Q43" i="7" s="1"/>
  <c r="L23" i="6"/>
  <c r="L26" i="6" s="1"/>
  <c r="Q33" i="6" s="1"/>
  <c r="L25" i="6"/>
  <c r="L4" i="5"/>
  <c r="L6" i="5" s="1"/>
  <c r="G8" i="5" s="1"/>
  <c r="R10" i="5" s="1"/>
  <c r="L9" i="5" s="1"/>
  <c r="L30" i="4"/>
  <c r="L31" i="4" s="1"/>
  <c r="L36" i="4" s="1"/>
  <c r="L32" i="4" s="1"/>
  <c r="L33" i="4" s="1"/>
  <c r="Q36" i="4"/>
  <c r="BJ32" i="2"/>
  <c r="DR12" i="2"/>
  <c r="DR13" i="2" s="1"/>
  <c r="DR22" i="2" s="1"/>
  <c r="DR24" i="2" s="1"/>
  <c r="CB7" i="2"/>
  <c r="CB10" i="2" s="1"/>
  <c r="CB12" i="2" s="1"/>
  <c r="CB13" i="2" s="1"/>
  <c r="BW12" i="2"/>
  <c r="CZ11" i="2"/>
  <c r="DE4" i="2"/>
  <c r="DE7" i="2" s="1"/>
  <c r="CZ13" i="2" s="1"/>
  <c r="DE6" i="2"/>
  <c r="DR53" i="2"/>
  <c r="DR54" i="2" s="1"/>
  <c r="DR55" i="2" s="1"/>
  <c r="DR56" i="2" s="1"/>
  <c r="DR47" i="2"/>
  <c r="DR42" i="2"/>
  <c r="DR60" i="2" s="1"/>
  <c r="DR61" i="2" s="1"/>
  <c r="DR46" i="2"/>
  <c r="DM39" i="2"/>
  <c r="L7" i="7"/>
  <c r="L10" i="7" s="1"/>
  <c r="L12" i="7" s="1"/>
  <c r="L13" i="7" s="1"/>
  <c r="L5" i="4"/>
  <c r="L6" i="4"/>
  <c r="L7" i="4"/>
  <c r="L13" i="4" s="1"/>
  <c r="Q11" i="4"/>
  <c r="L54" i="5"/>
  <c r="L56" i="5" s="1"/>
  <c r="G35" i="5" s="1"/>
  <c r="R36" i="5" s="1"/>
  <c r="L61" i="5" s="1"/>
  <c r="CB55" i="2"/>
  <c r="CB54" i="2"/>
  <c r="DM16" i="2"/>
  <c r="DR26" i="2"/>
  <c r="DR27" i="2" s="1"/>
  <c r="AW13" i="2"/>
  <c r="BB15" i="2"/>
  <c r="BB24" i="2" s="1"/>
  <c r="AW15" i="2" s="1"/>
  <c r="AW17" i="2" s="1"/>
  <c r="BB23" i="2"/>
  <c r="BO12" i="2"/>
  <c r="BO15" i="2" s="1"/>
  <c r="BJ11" i="2"/>
  <c r="BO7" i="2"/>
  <c r="BO13" i="2" s="1"/>
  <c r="DE23" i="2"/>
  <c r="DE26" i="2" s="1"/>
  <c r="DE25" i="2"/>
  <c r="CZ31" i="2"/>
  <c r="BO30" i="2"/>
  <c r="BO31" i="2" s="1"/>
  <c r="BJ34" i="2"/>
  <c r="L49" i="7" l="1"/>
  <c r="L52" i="7" s="1"/>
  <c r="L28" i="6"/>
  <c r="L29" i="6" s="1"/>
  <c r="L35" i="6" s="1"/>
  <c r="L7" i="5"/>
  <c r="L10" i="5" s="1"/>
  <c r="L12" i="5" s="1"/>
  <c r="L13" i="5" s="1"/>
  <c r="R12" i="5"/>
  <c r="L38" i="6"/>
  <c r="L39" i="6" s="1"/>
  <c r="Q35" i="6"/>
  <c r="DR23" i="2"/>
  <c r="DR15" i="2"/>
  <c r="BW14" i="2"/>
  <c r="CZ15" i="2"/>
  <c r="CY18" i="2" s="1"/>
  <c r="CY17" i="2"/>
  <c r="DR51" i="2"/>
  <c r="DR49" i="2"/>
  <c r="CB56" i="2"/>
  <c r="BW35" i="2" s="1"/>
  <c r="BW37" i="2" s="1"/>
  <c r="CB68" i="2" s="1"/>
  <c r="CB69" i="2" s="1"/>
  <c r="CB70" i="2" s="1"/>
  <c r="CB71" i="2" s="1"/>
  <c r="DR62" i="2"/>
  <c r="DR63" i="2"/>
  <c r="DR29" i="2"/>
  <c r="DR32" i="2" s="1"/>
  <c r="DR33" i="2" s="1"/>
  <c r="DR35" i="2" s="1"/>
  <c r="DR36" i="2" s="1"/>
  <c r="DR40" i="2" s="1"/>
  <c r="DR58" i="2"/>
  <c r="DM41" i="2" s="1"/>
  <c r="DM43" i="2"/>
  <c r="L58" i="7"/>
  <c r="Q41" i="7" s="1"/>
  <c r="Q45" i="7" s="1"/>
  <c r="L60" i="7"/>
  <c r="L61" i="7" s="1"/>
  <c r="L66" i="7" s="1"/>
  <c r="Q14" i="7"/>
  <c r="L26" i="7" s="1"/>
  <c r="L27" i="7" s="1"/>
  <c r="L53" i="4"/>
  <c r="L54" i="4" s="1"/>
  <c r="L55" i="4" s="1"/>
  <c r="L37" i="4"/>
  <c r="L12" i="4"/>
  <c r="L15" i="4" s="1"/>
  <c r="G8" i="4"/>
  <c r="L68" i="5"/>
  <c r="L69" i="5" s="1"/>
  <c r="L62" i="5"/>
  <c r="L64" i="5" s="1"/>
  <c r="L58" i="5" s="1"/>
  <c r="L57" i="5"/>
  <c r="L60" i="5" s="1"/>
  <c r="L75" i="5" s="1"/>
  <c r="L76" i="5" s="1"/>
  <c r="R38" i="5"/>
  <c r="BO10" i="2"/>
  <c r="BJ13" i="2" s="1"/>
  <c r="BJ15" i="2"/>
  <c r="BO8" i="2"/>
  <c r="BJ36" i="2"/>
  <c r="BO50" i="2"/>
  <c r="BO51" i="2" s="1"/>
  <c r="BO36" i="2"/>
  <c r="AV19" i="2"/>
  <c r="BO33" i="2"/>
  <c r="BO32" i="2"/>
  <c r="AV20" i="2"/>
  <c r="BW16" i="2"/>
  <c r="CB26" i="2"/>
  <c r="CB27" i="2" s="1"/>
  <c r="CB23" i="2"/>
  <c r="CB22" i="2"/>
  <c r="CB15" i="2"/>
  <c r="DE28" i="2"/>
  <c r="DE29" i="2" s="1"/>
  <c r="CZ33" i="2"/>
  <c r="L69" i="7" l="1"/>
  <c r="L70" i="7" s="1"/>
  <c r="L43" i="7"/>
  <c r="L30" i="6"/>
  <c r="L32" i="6"/>
  <c r="L36" i="6" s="1"/>
  <c r="R14" i="5"/>
  <c r="L23" i="5" s="1"/>
  <c r="L22" i="5"/>
  <c r="L15" i="5"/>
  <c r="DR38" i="2"/>
  <c r="DR30" i="2"/>
  <c r="DM18" i="2" s="1"/>
  <c r="CB57" i="2"/>
  <c r="CB75" i="2" s="1"/>
  <c r="CB76" i="2" s="1"/>
  <c r="CB77" i="2" s="1"/>
  <c r="CB61" i="2"/>
  <c r="CZ10" i="2"/>
  <c r="CX5" i="2"/>
  <c r="CZ14" i="2"/>
  <c r="CX7" i="2"/>
  <c r="CX6" i="2"/>
  <c r="CB62" i="2"/>
  <c r="CB66" i="2" s="1"/>
  <c r="DR67" i="2"/>
  <c r="DM45" i="2"/>
  <c r="DR66" i="2"/>
  <c r="DR69" i="2"/>
  <c r="DR70" i="2" s="1"/>
  <c r="DR71" i="2" s="1"/>
  <c r="DR74" i="2" s="1"/>
  <c r="DR75" i="2" s="1"/>
  <c r="DR77" i="2" s="1"/>
  <c r="DR78" i="2" s="1"/>
  <c r="BW39" i="2"/>
  <c r="DR52" i="2"/>
  <c r="DR43" i="2"/>
  <c r="L62" i="7"/>
  <c r="L63" i="7"/>
  <c r="L67" i="7" s="1"/>
  <c r="Q16" i="7"/>
  <c r="L23" i="7"/>
  <c r="L15" i="7" s="1"/>
  <c r="L22" i="7" s="1"/>
  <c r="L29" i="7" s="1"/>
  <c r="L56" i="4"/>
  <c r="L57" i="4" s="1"/>
  <c r="Q15" i="4"/>
  <c r="L8" i="4"/>
  <c r="L10" i="4"/>
  <c r="Q13" i="4" s="1"/>
  <c r="L70" i="5"/>
  <c r="L71" i="5" s="1"/>
  <c r="R42" i="5" s="1"/>
  <c r="L67" i="5"/>
  <c r="L66" i="5"/>
  <c r="L78" i="5"/>
  <c r="L77" i="5"/>
  <c r="BW43" i="2"/>
  <c r="CB73" i="2"/>
  <c r="BW41" i="2" s="1"/>
  <c r="AW12" i="2"/>
  <c r="AW16" i="2"/>
  <c r="AW9" i="2"/>
  <c r="AU5" i="2"/>
  <c r="AU6" i="2"/>
  <c r="AU7" i="2"/>
  <c r="AU8" i="2"/>
  <c r="CZ35" i="2"/>
  <c r="DE35" i="2"/>
  <c r="DE38" i="2"/>
  <c r="DE39" i="2" s="1"/>
  <c r="CB24" i="2"/>
  <c r="DE30" i="2"/>
  <c r="DE32" i="2"/>
  <c r="DE36" i="2" s="1"/>
  <c r="CB29" i="2"/>
  <c r="CB32" i="2" s="1"/>
  <c r="CB33" i="2" s="1"/>
  <c r="CB35" i="2" s="1"/>
  <c r="CB36" i="2" s="1"/>
  <c r="CB51" i="2" s="1"/>
  <c r="BO52" i="2"/>
  <c r="BO55" i="2" s="1"/>
  <c r="BO56" i="2" s="1"/>
  <c r="BO58" i="2" s="1"/>
  <c r="BO59" i="2" s="1"/>
  <c r="BO63" i="2" s="1"/>
  <c r="BJ17" i="2"/>
  <c r="BI20" i="2" s="1"/>
  <c r="BI19" i="2"/>
  <c r="BL19" i="2" s="1"/>
  <c r="BO37" i="2"/>
  <c r="E5" i="4" l="1"/>
  <c r="P20" i="4"/>
  <c r="F19" i="4"/>
  <c r="L9" i="4" s="1"/>
  <c r="L40" i="6"/>
  <c r="R16" i="5"/>
  <c r="L24" i="5"/>
  <c r="L26" i="5"/>
  <c r="L27" i="5" s="1"/>
  <c r="L29" i="5" s="1"/>
  <c r="E6" i="4"/>
  <c r="DM20" i="2"/>
  <c r="CB30" i="2"/>
  <c r="BW20" i="2" s="1"/>
  <c r="CB78" i="2"/>
  <c r="CB82" i="2" s="1"/>
  <c r="DR82" i="2"/>
  <c r="DR80" i="2"/>
  <c r="CB64" i="2"/>
  <c r="CB67" i="2" s="1"/>
  <c r="DE40" i="2"/>
  <c r="DE43" i="2" s="1"/>
  <c r="DE44" i="2" s="1"/>
  <c r="DE46" i="2" s="1"/>
  <c r="DE47" i="2" s="1"/>
  <c r="DE51" i="2" s="1"/>
  <c r="DR72" i="2"/>
  <c r="L71" i="7"/>
  <c r="L72" i="7" s="1"/>
  <c r="L73" i="7" s="1"/>
  <c r="L24" i="7"/>
  <c r="L30" i="7"/>
  <c r="Q40" i="4"/>
  <c r="Q17" i="4"/>
  <c r="F20" i="4" s="1"/>
  <c r="E7" i="4"/>
  <c r="S10" i="4"/>
  <c r="S15" i="4"/>
  <c r="Q14" i="4"/>
  <c r="S13" i="4"/>
  <c r="Q16" i="4"/>
  <c r="L73" i="5"/>
  <c r="R40" i="5" s="1"/>
  <c r="R44" i="5" s="1"/>
  <c r="DM22" i="2"/>
  <c r="DL25" i="2" s="1"/>
  <c r="DL24" i="2"/>
  <c r="BW45" i="2"/>
  <c r="CB81" i="2"/>
  <c r="CB84" i="2"/>
  <c r="CB85" i="2" s="1"/>
  <c r="BL15" i="2"/>
  <c r="BJ16" i="2"/>
  <c r="BL17" i="2"/>
  <c r="BL13" i="2"/>
  <c r="BJ14" i="2"/>
  <c r="BL10" i="2"/>
  <c r="BH5" i="2"/>
  <c r="BH7" i="2"/>
  <c r="BH6" i="2"/>
  <c r="BO9" i="2"/>
  <c r="BO61" i="2"/>
  <c r="BO53" i="2"/>
  <c r="CB38" i="2"/>
  <c r="L74" i="7" l="1"/>
  <c r="L75" i="7" s="1"/>
  <c r="L77" i="7" s="1"/>
  <c r="L78" i="7" s="1"/>
  <c r="L80" i="7" s="1"/>
  <c r="L81" i="7" s="1"/>
  <c r="L82" i="7" s="1"/>
  <c r="L41" i="6"/>
  <c r="Q49" i="7"/>
  <c r="CB86" i="2"/>
  <c r="CB89" i="2" s="1"/>
  <c r="CB90" i="2" s="1"/>
  <c r="CB92" i="2" s="1"/>
  <c r="CB93" i="2" s="1"/>
  <c r="CB97" i="2" s="1"/>
  <c r="BW18" i="2"/>
  <c r="BW22" i="2" s="1"/>
  <c r="BV25" i="2" s="1"/>
  <c r="DE41" i="2"/>
  <c r="CZ39" i="2" s="1"/>
  <c r="CB58" i="2"/>
  <c r="DE49" i="2"/>
  <c r="DM47" i="2"/>
  <c r="DM49" i="2"/>
  <c r="L31" i="7"/>
  <c r="L32" i="7" s="1"/>
  <c r="L33" i="7" s="1"/>
  <c r="L35" i="7" s="1"/>
  <c r="L36" i="7" s="1"/>
  <c r="L59" i="4"/>
  <c r="L60" i="4" s="1"/>
  <c r="S17" i="4"/>
  <c r="L82" i="5"/>
  <c r="L84" i="5"/>
  <c r="L85" i="5" s="1"/>
  <c r="L86" i="5" s="1"/>
  <c r="L81" i="5"/>
  <c r="L30" i="5"/>
  <c r="BJ38" i="2"/>
  <c r="BJ40" i="2"/>
  <c r="DM19" i="2"/>
  <c r="DM11" i="2"/>
  <c r="DM21" i="2"/>
  <c r="DM15" i="2"/>
  <c r="DK5" i="2"/>
  <c r="DK6" i="2"/>
  <c r="DR9" i="2"/>
  <c r="DK7" i="2"/>
  <c r="Q47" i="7" l="1"/>
  <c r="F51" i="7" s="1"/>
  <c r="L42" i="6"/>
  <c r="L43" i="6" s="1"/>
  <c r="L44" i="6" s="1"/>
  <c r="L46" i="6" s="1"/>
  <c r="L47" i="6" s="1"/>
  <c r="L31" i="5"/>
  <c r="L32" i="5" s="1"/>
  <c r="L33" i="5" s="1"/>
  <c r="L35" i="5" s="1"/>
  <c r="L36" i="5" s="1"/>
  <c r="BV24" i="2"/>
  <c r="BU6" i="2" s="1"/>
  <c r="CZ37" i="2"/>
  <c r="CZ41" i="2" s="1"/>
  <c r="CY44" i="2" s="1"/>
  <c r="CB87" i="2"/>
  <c r="BW49" i="2" s="1"/>
  <c r="CB95" i="2"/>
  <c r="DM51" i="2"/>
  <c r="DL54" i="2" s="1"/>
  <c r="DL53" i="2"/>
  <c r="Q20" i="7"/>
  <c r="L38" i="7"/>
  <c r="L39" i="7" s="1"/>
  <c r="L40" i="7" s="1"/>
  <c r="Q18" i="7"/>
  <c r="L62" i="4"/>
  <c r="L63" i="4" s="1"/>
  <c r="L64" i="4" s="1"/>
  <c r="Q38" i="4"/>
  <c r="L87" i="5"/>
  <c r="BW15" i="2"/>
  <c r="BW21" i="2"/>
  <c r="BU5" i="2"/>
  <c r="BU7" i="2"/>
  <c r="BW47" i="2"/>
  <c r="BJ42" i="2"/>
  <c r="BI45" i="2" s="1"/>
  <c r="BI44" i="2"/>
  <c r="Q51" i="7" l="1"/>
  <c r="F52" i="7" s="1"/>
  <c r="Q39" i="6"/>
  <c r="L49" i="6"/>
  <c r="L50" i="6" s="1"/>
  <c r="L51" i="6" s="1"/>
  <c r="Q37" i="6"/>
  <c r="R20" i="5"/>
  <c r="R18" i="5"/>
  <c r="L38" i="5"/>
  <c r="L50" i="5" s="1"/>
  <c r="L51" i="5" s="1"/>
  <c r="L88" i="5"/>
  <c r="L89" i="5" s="1"/>
  <c r="L90" i="5" s="1"/>
  <c r="L92" i="5" s="1"/>
  <c r="L93" i="5" s="1"/>
  <c r="L95" i="5" s="1"/>
  <c r="L96" i="5" s="1"/>
  <c r="L97" i="5" s="1"/>
  <c r="CY43" i="2"/>
  <c r="BW11" i="2"/>
  <c r="BW19" i="2"/>
  <c r="DM48" i="2"/>
  <c r="DM42" i="2"/>
  <c r="DM38" i="2"/>
  <c r="DK34" i="2"/>
  <c r="DK33" i="2"/>
  <c r="DK32" i="2"/>
  <c r="DM50" i="2"/>
  <c r="DM44" i="2"/>
  <c r="DR44" i="2"/>
  <c r="Q42" i="7"/>
  <c r="Q48" i="7"/>
  <c r="E34" i="7"/>
  <c r="E33" i="7"/>
  <c r="E32" i="7"/>
  <c r="Q38" i="7"/>
  <c r="Q44" i="7"/>
  <c r="L44" i="7"/>
  <c r="Q50" i="7"/>
  <c r="Q22" i="7"/>
  <c r="F25" i="7" s="1"/>
  <c r="F24" i="7"/>
  <c r="Q42" i="4"/>
  <c r="F46" i="4" s="1"/>
  <c r="F45" i="4"/>
  <c r="BW51" i="2"/>
  <c r="BV54" i="2" s="1"/>
  <c r="BV53" i="2"/>
  <c r="CZ30" i="2"/>
  <c r="CZ38" i="2"/>
  <c r="CZ40" i="2"/>
  <c r="CZ34" i="2"/>
  <c r="CX27" i="2"/>
  <c r="CX26" i="2"/>
  <c r="CX25" i="2"/>
  <c r="BJ35" i="2"/>
  <c r="BJ39" i="2"/>
  <c r="BJ41" i="2"/>
  <c r="BJ31" i="2"/>
  <c r="BH28" i="2"/>
  <c r="BH27" i="2"/>
  <c r="BO26" i="2"/>
  <c r="Q41" i="6" l="1"/>
  <c r="F45" i="6" s="1"/>
  <c r="F44" i="6"/>
  <c r="F24" i="5"/>
  <c r="R22" i="5"/>
  <c r="F25" i="5" s="1"/>
  <c r="R46" i="5"/>
  <c r="F53" i="5" s="1"/>
  <c r="R41" i="5" s="1"/>
  <c r="R48" i="5"/>
  <c r="Q19" i="7"/>
  <c r="E7" i="7"/>
  <c r="Q21" i="7"/>
  <c r="E5" i="7"/>
  <c r="E6" i="7"/>
  <c r="L9" i="7"/>
  <c r="Q11" i="7"/>
  <c r="Q15" i="7"/>
  <c r="E28" i="4"/>
  <c r="E27" i="4"/>
  <c r="Q41" i="4"/>
  <c r="Q39" i="4"/>
  <c r="Q31" i="4"/>
  <c r="L26" i="4"/>
  <c r="Q35" i="4"/>
  <c r="BW50" i="2"/>
  <c r="BW38" i="2"/>
  <c r="BW42" i="2"/>
  <c r="BW48" i="2"/>
  <c r="BW44" i="2"/>
  <c r="BU32" i="2"/>
  <c r="BU33" i="2"/>
  <c r="BU34" i="2"/>
  <c r="CB59" i="2"/>
  <c r="E26" i="6" l="1"/>
  <c r="E25" i="6"/>
  <c r="Q38" i="6"/>
  <c r="Q40" i="6"/>
  <c r="E27" i="6"/>
  <c r="Q30" i="6"/>
  <c r="Q34" i="6"/>
  <c r="L59" i="5"/>
  <c r="E33" i="5"/>
  <c r="E5" i="5"/>
  <c r="R21" i="5"/>
  <c r="R15" i="5"/>
  <c r="E7" i="5"/>
  <c r="R19" i="5"/>
  <c r="E6" i="5"/>
  <c r="R11" i="5"/>
  <c r="E32" i="5"/>
  <c r="E34" i="5"/>
  <c r="R47" i="5"/>
  <c r="R50" i="5"/>
  <c r="F54" i="5" s="1"/>
  <c r="R43" i="5"/>
  <c r="R37" i="5"/>
  <c r="R49" i="5"/>
  <c r="B19" i="2" l="1"/>
  <c r="B16" i="2"/>
  <c r="B10" i="2"/>
  <c r="P42" i="2"/>
  <c r="AB54" i="2" l="1"/>
  <c r="AB56" i="2"/>
  <c r="AB55" i="2"/>
  <c r="AB5" i="2"/>
  <c r="B34" i="2"/>
  <c r="AB57" i="2" l="1"/>
  <c r="AB58" i="2"/>
  <c r="AG5" i="2"/>
  <c r="AH5" i="2" s="1"/>
  <c r="AG8" i="2"/>
  <c r="AH8" i="2" s="1"/>
  <c r="AG6" i="2"/>
  <c r="AH6" i="2" s="1"/>
  <c r="AG7" i="2"/>
  <c r="AH7" i="2" s="1"/>
  <c r="AG9" i="2"/>
  <c r="AH9" i="2" s="1"/>
  <c r="I20" i="2"/>
  <c r="I19" i="2"/>
  <c r="T30" i="2" s="1"/>
  <c r="I27" i="2"/>
  <c r="P47" i="2"/>
  <c r="Q47" i="2" s="1"/>
  <c r="I26" i="2"/>
  <c r="P46" i="2"/>
  <c r="Q46" i="2" s="1"/>
  <c r="P50" i="2"/>
  <c r="Q50" i="2" s="1"/>
  <c r="P48" i="2"/>
  <c r="Q48" i="2" s="1"/>
  <c r="P49" i="2"/>
  <c r="Q49" i="2" s="1"/>
  <c r="AJ9" i="2" l="1"/>
  <c r="AK9" i="2" s="1"/>
  <c r="AI9" i="2" s="1"/>
  <c r="AJ7" i="2"/>
  <c r="AK7" i="2" s="1"/>
  <c r="AI7" i="2" s="1"/>
  <c r="AJ5" i="2"/>
  <c r="AK5" i="2" s="1"/>
  <c r="AJ8" i="2"/>
  <c r="AK8" i="2" s="1"/>
  <c r="AI8" i="2" s="1"/>
  <c r="AJ6" i="2"/>
  <c r="AK6" i="2" s="1"/>
  <c r="AI6" i="2" s="1"/>
  <c r="AB59" i="2"/>
  <c r="AB60" i="2"/>
  <c r="AB61" i="2" s="1"/>
  <c r="AB62" i="2" s="1"/>
  <c r="I25" i="2"/>
  <c r="S47" i="2"/>
  <c r="T47" i="2" s="1"/>
  <c r="R47" i="2" s="1"/>
  <c r="S50" i="2"/>
  <c r="T50" i="2" s="1"/>
  <c r="R50" i="2" s="1"/>
  <c r="S46" i="2"/>
  <c r="T46" i="2" s="1"/>
  <c r="R46" i="2" s="1"/>
  <c r="S49" i="2"/>
  <c r="T49" i="2" s="1"/>
  <c r="R49" i="2" s="1"/>
  <c r="S48" i="2"/>
  <c r="T48" i="2" s="1"/>
  <c r="R48" i="2" s="1"/>
  <c r="AI5" i="2" l="1"/>
  <c r="AK11" i="2"/>
  <c r="R6" i="2"/>
  <c r="AB6" i="2" l="1"/>
  <c r="AB4" i="2"/>
  <c r="AB7" i="2" s="1"/>
  <c r="AO4" i="2"/>
  <c r="AO7" i="2" s="1"/>
  <c r="AM29" i="2"/>
  <c r="AO34" i="2"/>
  <c r="AO35" i="2" s="1"/>
  <c r="AK12" i="2"/>
  <c r="AM11" i="2"/>
  <c r="R7" i="2"/>
  <c r="AO16" i="2" l="1"/>
  <c r="AO9" i="2"/>
  <c r="AO10" i="2"/>
  <c r="AO15" i="2"/>
  <c r="AO21" i="2"/>
  <c r="AO27" i="2"/>
  <c r="AO28" i="2" s="1"/>
  <c r="AO22" i="2"/>
  <c r="AB10" i="2"/>
  <c r="AB12" i="2" s="1"/>
  <c r="AB13" i="2" s="1"/>
  <c r="AB9" i="2"/>
  <c r="R9" i="2"/>
  <c r="AO29" i="2" l="1"/>
  <c r="AO31" i="2"/>
  <c r="AO30" i="2"/>
  <c r="AO36" i="2" s="1"/>
  <c r="AO39" i="2" s="1"/>
  <c r="AB15" i="2"/>
  <c r="R12" i="2"/>
  <c r="R13" i="2" s="1"/>
  <c r="AB16" i="2"/>
  <c r="AB18" i="2" s="1"/>
  <c r="AB19" i="2" s="1"/>
  <c r="AB21" i="2" s="1"/>
  <c r="R10" i="2"/>
  <c r="R15" i="2" l="1"/>
  <c r="R16" i="2" s="1"/>
  <c r="AB22" i="2"/>
  <c r="AB24" i="2" s="1"/>
  <c r="AB25" i="2" s="1"/>
  <c r="AB27" i="2" s="1"/>
  <c r="AB28" i="2" s="1"/>
  <c r="AB29" i="2" s="1"/>
  <c r="AO33" i="2"/>
  <c r="AO40" i="2"/>
  <c r="AO41" i="2" s="1"/>
  <c r="AO42" i="2" s="1"/>
  <c r="AO45" i="2" s="1"/>
  <c r="AB30" i="2" l="1"/>
  <c r="AO43" i="2"/>
  <c r="AO37" i="2"/>
  <c r="R18" i="2" l="1"/>
  <c r="AB31" i="2" l="1"/>
  <c r="AB33" i="2"/>
  <c r="AB34" i="2"/>
  <c r="AB35" i="2" s="1"/>
  <c r="AB36" i="2" s="1"/>
  <c r="R19" i="2"/>
  <c r="AB37" i="2" l="1"/>
  <c r="AB38" i="2" s="1"/>
  <c r="AB39" i="2" s="1"/>
  <c r="AB40" i="2" s="1"/>
  <c r="AB41" i="2" s="1"/>
  <c r="AB42" i="2" s="1"/>
  <c r="R22" i="2" s="1"/>
  <c r="R21" i="2" l="1"/>
  <c r="I12" i="2" s="1"/>
  <c r="AB43" i="2"/>
  <c r="AB44" i="2" s="1"/>
  <c r="AB45" i="2" s="1"/>
  <c r="T12" i="2" l="1"/>
  <c r="T6" i="2"/>
  <c r="R23" i="2"/>
  <c r="I13" i="2" s="1"/>
  <c r="T22" i="2"/>
  <c r="T24" i="2"/>
  <c r="T18" i="2"/>
  <c r="T15" i="2"/>
  <c r="T9" i="2"/>
  <c r="T21" i="2"/>
  <c r="I14" i="2" l="1"/>
  <c r="G5" i="8"/>
  <c r="L9" i="8" s="1"/>
  <c r="L5" i="8" l="1"/>
  <c r="L6" i="8" s="1"/>
  <c r="L10" i="8" s="1"/>
  <c r="R2" i="8" s="1"/>
  <c r="R4" i="8" l="1"/>
  <c r="L15" i="8"/>
  <c r="L24" i="8" s="1"/>
  <c r="R6" i="8" s="1"/>
  <c r="R8" i="8" s="1"/>
  <c r="L23" i="8"/>
  <c r="F19" i="8" l="1"/>
  <c r="R7" i="8" s="1"/>
  <c r="F20" i="8"/>
  <c r="E5" i="8" l="1"/>
  <c r="E6" i="8"/>
  <c r="G9" i="8"/>
  <c r="E7" i="8"/>
  <c r="E8" i="8"/>
  <c r="R3" i="8"/>
  <c r="G5" i="6"/>
  <c r="Q8" i="6"/>
  <c r="L4" i="6" l="1"/>
  <c r="L7" i="6" s="1"/>
  <c r="Q12" i="6" s="1"/>
  <c r="Q14" i="6" s="1"/>
  <c r="L6" i="6"/>
  <c r="Q10" i="6"/>
  <c r="F18" i="6" l="1"/>
  <c r="F17" i="6"/>
  <c r="Q13" i="6" l="1"/>
  <c r="Q9" i="6"/>
  <c r="E7" i="6"/>
  <c r="E6" i="6"/>
  <c r="E5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76946BF-EBE3-421E-A4ED-A3DBE54AFD85}" keepAlive="1" name="Requête - parcellaireirrigable" description="Connexion à la requête « parcellaireirrigable » dans le classeur." type="5" refreshedVersion="6" background="1" saveData="1">
    <dbPr connection="Provider=Microsoft.Mashup.OleDb.1;Data Source=$Workbook$;Location=parcellaireirrigable;Extended Properties=&quot;&quot;" command="SELECT * FROM [parcellaireirrigable]"/>
  </connection>
  <connection id="2" xr16:uid="{9F3F6B44-4CFB-423D-B987-A9F1583741E8}" keepAlive="1" name="Requête - parcellaireirrigue" description="Connexion à la requête « parcellaireirrigue » dans le classeur." type="5" refreshedVersion="6" background="1" saveData="1">
    <dbPr connection="Provider=Microsoft.Mashup.OleDb.1;Data Source=$Workbook$;Location=parcellaireirrigue;Extended Properties=&quot;&quot;" command="SELECT * FROM [parcellaireirrigue]"/>
  </connection>
</connections>
</file>

<file path=xl/sharedStrings.xml><?xml version="1.0" encoding="utf-8"?>
<sst xmlns="http://schemas.openxmlformats.org/spreadsheetml/2006/main" count="1373" uniqueCount="241">
  <si>
    <t>GRENACHE N</t>
  </si>
  <si>
    <t>SYRAH N</t>
  </si>
  <si>
    <t>CALCUL POUR LES PF ROUGES</t>
  </si>
  <si>
    <t>AOC CDP sans les DGC</t>
  </si>
  <si>
    <t>FREJUS ROSE</t>
  </si>
  <si>
    <t>LL ROUGE</t>
  </si>
  <si>
    <t>SV ROSE</t>
  </si>
  <si>
    <t>PF ROUGE</t>
  </si>
  <si>
    <t>Superficie en AOC avec JV</t>
  </si>
  <si>
    <t xml:space="preserve">Ref de l'année plantation / à aujourd'hui </t>
  </si>
  <si>
    <t>Surface Jeunes Vignes AOC</t>
  </si>
  <si>
    <t>Grenache N
JV</t>
  </si>
  <si>
    <t>Syrah N
JV</t>
  </si>
  <si>
    <t>Cinsaut N
JV</t>
  </si>
  <si>
    <t>Tibouren N
JV</t>
  </si>
  <si>
    <t>Mourvedre N
JV</t>
  </si>
  <si>
    <t>Carignan N
JV</t>
  </si>
  <si>
    <t>Cabernet
JV</t>
  </si>
  <si>
    <t>Vermentino B
JV</t>
  </si>
  <si>
    <t>Clairette B
JV</t>
  </si>
  <si>
    <t>Semillon B
JV</t>
  </si>
  <si>
    <t>SUPERFICIE AOC
sans  JV</t>
  </si>
  <si>
    <t>SUPERFICIE AOC
JV</t>
  </si>
  <si>
    <t>CEPAGE EN AOC</t>
  </si>
  <si>
    <t>Superficie parcellaire AOC CDP</t>
  </si>
  <si>
    <t>% principaux</t>
  </si>
  <si>
    <t>Aucun cépage principal &gt;90% : superficie retenue</t>
  </si>
  <si>
    <t>soit % recalculé</t>
  </si>
  <si>
    <t>Au moins 2 cépages principaux : superificie retenue</t>
  </si>
  <si>
    <t>Superficie cépages principaux retenue
Ha</t>
  </si>
  <si>
    <t>Total Secondaires 30% si cépages principaux 70% = max revendicable secondaires</t>
  </si>
  <si>
    <t>Superficie parcellaire FR CDP</t>
  </si>
  <si>
    <t>Aucun cépage principal &gt;60% : superficie retenue</t>
  </si>
  <si>
    <t>Superficie parcellaire LL CDP</t>
  </si>
  <si>
    <t>Total mourvèdre 50% si Grenache+Syrah 50% = max mourvèdre</t>
  </si>
  <si>
    <t>Superficie parcellaire SV CDP</t>
  </si>
  <si>
    <t>Aucun cépage principal &gt;80% : superficie retenue</t>
  </si>
  <si>
    <t>Total cinsaut 50% si Grenache+Syrah 50% = max cinsaut</t>
  </si>
  <si>
    <t>Superficie parcellaire PF CDP</t>
  </si>
  <si>
    <t>Total Secondaires 20% si cépages principaux 80% = max revendicable secondaires</t>
  </si>
  <si>
    <t>Noirs encépagement</t>
  </si>
  <si>
    <t>Autres encépagement</t>
  </si>
  <si>
    <t>Mourvèdre encépagement</t>
  </si>
  <si>
    <t>Cinsaut encépagement</t>
  </si>
  <si>
    <t>Pourcentage secondaire max revendicable avec % principaux réel</t>
  </si>
  <si>
    <t>Autres revendicables</t>
  </si>
  <si>
    <t>Mouvèdre revendicables</t>
  </si>
  <si>
    <t>Cinsaut revendicables</t>
  </si>
  <si>
    <t>ST ss JV</t>
  </si>
  <si>
    <t>CINSAUT N</t>
  </si>
  <si>
    <t>Noirs secondaires revendicables</t>
  </si>
  <si>
    <t>ST ac JV</t>
  </si>
  <si>
    <t>TIBOUREN N</t>
  </si>
  <si>
    <t>Principaux en AOC</t>
  </si>
  <si>
    <t>Mourvèdre &lt;50%</t>
  </si>
  <si>
    <t>Cinsaut &lt;50%</t>
  </si>
  <si>
    <t>%</t>
  </si>
  <si>
    <t>Principaux encépagement</t>
  </si>
  <si>
    <t>Cépages principaux revendicables Ha</t>
  </si>
  <si>
    <t>Total Blanc 20%  max revendicable en blanc (en fonction % secondaires)</t>
  </si>
  <si>
    <t>Principaux revendicables</t>
  </si>
  <si>
    <t>CARIGNAN N</t>
  </si>
  <si>
    <t>soit</t>
  </si>
  <si>
    <t>Superficie max revendicable blanc (en fonction % secondaires)</t>
  </si>
  <si>
    <t>Cépages principaux déclassés Ha</t>
  </si>
  <si>
    <t>(80% min) soit</t>
  </si>
  <si>
    <t>%Cab sauv</t>
  </si>
  <si>
    <t>Secondaires Noirs</t>
  </si>
  <si>
    <t>%blanc max</t>
  </si>
  <si>
    <t>Max Cab Sauv 10%</t>
  </si>
  <si>
    <t>Cépages secondaires noirs revendicables Rs/Rg Ha</t>
  </si>
  <si>
    <t>Blanc revendicable avec respect 20% encépagement</t>
  </si>
  <si>
    <t>Cab Sauv encépagement</t>
  </si>
  <si>
    <t>TOTAL ENCEPAGEMENT</t>
  </si>
  <si>
    <t>(20% max) soit</t>
  </si>
  <si>
    <t>Avec Superficie totale revendicable avant</t>
  </si>
  <si>
    <t>Cab Sauv revendicables</t>
  </si>
  <si>
    <t>Cépages secondaires noirs déclassés</t>
  </si>
  <si>
    <t>Superficie Revendicable après</t>
  </si>
  <si>
    <t xml:space="preserve">Cabernet Sauvignon </t>
  </si>
  <si>
    <t>(10% max) soit</t>
  </si>
  <si>
    <t>10% revendicable</t>
  </si>
  <si>
    <t>SEMILLON B</t>
  </si>
  <si>
    <t>Cépages secondaires blc revendicables prRs/Rg Ha</t>
  </si>
  <si>
    <t>Somme blanc max revendicable limite 10%</t>
  </si>
  <si>
    <t>Total Blancs</t>
  </si>
  <si>
    <t>Somme blanc revendicabe dans limite 10% et 20%</t>
  </si>
  <si>
    <t>Somme Ugni+Clairette+Semillon</t>
  </si>
  <si>
    <t>Max Superficie Vermentino revendicable</t>
  </si>
  <si>
    <t>Superficie Vermentino revendicable</t>
  </si>
  <si>
    <t>Superficie revendicable Blc uniquement</t>
  </si>
  <si>
    <t>PF ROSE</t>
  </si>
  <si>
    <t>Superficie blanc revendicable</t>
  </si>
  <si>
    <t>FREJUS ROUGE</t>
  </si>
  <si>
    <t>LL ROSE</t>
  </si>
  <si>
    <t>10%rev</t>
  </si>
  <si>
    <t>SV ROUGE</t>
  </si>
  <si>
    <t>(80% minimum)   soit</t>
  </si>
  <si>
    <t>Cas &lt; 1,5ha</t>
  </si>
  <si>
    <t>Total secondaires 50 % Secondaires si principaux 50% = max secondaires</t>
  </si>
  <si>
    <t>Secondaires totaux encépagement</t>
  </si>
  <si>
    <t>Secondaires revendicables</t>
  </si>
  <si>
    <t>Secondaires déclassés</t>
  </si>
  <si>
    <t>Secondaires noirs déclassés</t>
  </si>
  <si>
    <t>Secondaires noirs revendicables</t>
  </si>
  <si>
    <t>Reste en secondaires revendicables</t>
  </si>
  <si>
    <t>Noirs secondaires revendicables respect 20%</t>
  </si>
  <si>
    <t>Blancs uniquement</t>
  </si>
  <si>
    <t>Max Cab Sauv</t>
  </si>
  <si>
    <t>Noirs revendicables avant</t>
  </si>
  <si>
    <t>Noirs revendicables après</t>
  </si>
  <si>
    <t>Cab sauv dans limite 10%</t>
  </si>
  <si>
    <t>Cab dans limite 10% et 20%</t>
  </si>
  <si>
    <t>Cab sauv revendicables</t>
  </si>
  <si>
    <t>LL BLANC</t>
  </si>
  <si>
    <t>Secondaires Blancs</t>
  </si>
  <si>
    <t>Total Secondaires 50% si cépages principaux 50% = max revendicable secondaires</t>
  </si>
  <si>
    <t>Cépages secondaires blancs revendicables Ha</t>
  </si>
  <si>
    <t>(50% max) soit</t>
  </si>
  <si>
    <t>Blancs secondaires encépagement</t>
  </si>
  <si>
    <t>(50% minimum)   soit</t>
  </si>
  <si>
    <t>Blancs secondaires revendicables</t>
  </si>
  <si>
    <t>Cépages secondaires blancs déclassés</t>
  </si>
  <si>
    <t>UGNI BLANC B</t>
  </si>
  <si>
    <t>MOURVEDRE N</t>
  </si>
  <si>
    <t>CABERNET SAUVIGNON N</t>
  </si>
  <si>
    <t>VERMENTINO B</t>
  </si>
  <si>
    <t>CLAIRETTE B</t>
  </si>
  <si>
    <t>UGNI BLANC B
JV</t>
  </si>
  <si>
    <t>CALITOR NOIR N</t>
  </si>
  <si>
    <t>BARBAROUX RS</t>
  </si>
  <si>
    <t>Potentiel de production maximum AOC CDP Rg/Rs</t>
  </si>
  <si>
    <t>Potentiel de production maximum AOC CDP Blc</t>
  </si>
  <si>
    <t>Potentiel de production maximum LL Rg</t>
  </si>
  <si>
    <t>Potentiel de production maximum FR Rs</t>
  </si>
  <si>
    <t>Cépages noirs (principaux et secondaires) non revendicables en FR Rs</t>
  </si>
  <si>
    <t>Potentiel de production maximum FR Rg</t>
  </si>
  <si>
    <t>Cépages noirs (principaux et secondaires) non revendicables en FR Rg</t>
  </si>
  <si>
    <t>Potentiel de production maximum LL Rs</t>
  </si>
  <si>
    <t>Cépages noirs (principaux et secondaires) non revendicables en LL Rs</t>
  </si>
  <si>
    <t>Cépages noirs (principaux et secondaires) non revendicables en LL Rg</t>
  </si>
  <si>
    <t>Potentiel de production maximum LL Blc</t>
  </si>
  <si>
    <t>Cépages noirs (principaux et secondaires) non revendicables en LL Blc</t>
  </si>
  <si>
    <t>Potentiel de production maximum SV Rg</t>
  </si>
  <si>
    <t>Cépages noirs (principaux et secondaires) non revendicables en SV Rg</t>
  </si>
  <si>
    <t>Potentiel de production maximum SV Rs</t>
  </si>
  <si>
    <t>Cépages noirs (principaux et secondaires) non revendicables en SV Rs</t>
  </si>
  <si>
    <t>Potentiel de production maximum PF Rg</t>
  </si>
  <si>
    <t>Cépages noirs (principaux et secondaires) non revendicables en PF Rg</t>
  </si>
  <si>
    <t>Potentiel de production maximum PF Rs</t>
  </si>
  <si>
    <t>Cépages noirs (principaux et secondaires) non revendicables en PF Rs</t>
  </si>
  <si>
    <t>NDA ROSE</t>
  </si>
  <si>
    <t>Potentiel de production maximum NDA Rs</t>
  </si>
  <si>
    <t>Cépages noirs (principaux et secondaires) non revendicables en NDA Rs</t>
  </si>
  <si>
    <t>NDA ROUGE</t>
  </si>
  <si>
    <t>Potentiel de production maximum NDA Rg</t>
  </si>
  <si>
    <t>Cépages noirs (principaux et secondaires) non revendicables en NDA Rg</t>
  </si>
  <si>
    <t>Superficie parcellaire NDA CDP</t>
  </si>
  <si>
    <t>Total Autres 80% si Tibouren 20% = max revendicable autres</t>
  </si>
  <si>
    <t>ROUSSELI RS</t>
  </si>
  <si>
    <t>CALADOC N</t>
  </si>
  <si>
    <t>AGIORGITIKO N</t>
  </si>
  <si>
    <t>CALABRESE N</t>
  </si>
  <si>
    <t>MOSCHOFILERO RS</t>
  </si>
  <si>
    <t>XINOMAVRO N</t>
  </si>
  <si>
    <t>VERDEJO B</t>
  </si>
  <si>
    <t>Superficie totale revendicable satisfaisant aux conditions Bl</t>
  </si>
  <si>
    <t>Cépages blancs déclassés</t>
  </si>
  <si>
    <t>Caladoc revendicable</t>
  </si>
  <si>
    <t>Rousseli revendicable</t>
  </si>
  <si>
    <t>Caladoc déclassé</t>
  </si>
  <si>
    <t>Rousseli déclassé</t>
  </si>
  <si>
    <t>VIFA</t>
  </si>
  <si>
    <t>Autres</t>
  </si>
  <si>
    <t>VIFA revendicables</t>
  </si>
  <si>
    <t>VIFA déclassés</t>
  </si>
  <si>
    <t>Max Caladoc 10% si cépages principaux 70%</t>
  </si>
  <si>
    <t>Caladoc encépagement</t>
  </si>
  <si>
    <t>Pourcentage Caladoc max revendicable avec % principaux réel</t>
  </si>
  <si>
    <t>Caladoc revendicables</t>
  </si>
  <si>
    <t>Max Rousseli 10% si cépages principaux 70%</t>
  </si>
  <si>
    <t>Rousseli encépagement</t>
  </si>
  <si>
    <t>Pourcentage Rousseli max revendicable avec % principaux réel</t>
  </si>
  <si>
    <t>Rousseli revendicables</t>
  </si>
  <si>
    <t>Max avec secondaires noirs</t>
  </si>
  <si>
    <t>Max avec secondaires noirs et Caladoc</t>
  </si>
  <si>
    <t>VIFA encépagement</t>
  </si>
  <si>
    <t>Pourcentage VIFA max revendicable avec % principaux réel</t>
  </si>
  <si>
    <t>Max avec secondaires noirs, Caladoc et Rousseli</t>
  </si>
  <si>
    <t>Max VIFA 5% si cépages principaux 70%</t>
  </si>
  <si>
    <t>Max Verdejo 5% avec autres 95%</t>
  </si>
  <si>
    <t>Cépage Verdejo revendicable Ha</t>
  </si>
  <si>
    <t>Cépage Blancs hors Verdejo revendicable Ha</t>
  </si>
  <si>
    <t>Verdejo encépagement</t>
  </si>
  <si>
    <t>Cépages non revendicables</t>
  </si>
  <si>
    <t>Cépages principaux revendicables Ha (80% mini)</t>
  </si>
  <si>
    <t>Tibouren 20% mini soit</t>
  </si>
  <si>
    <t>Potentiel de production revendicable uniquement en Blc</t>
  </si>
  <si>
    <t>Verdejo revendicable</t>
  </si>
  <si>
    <t>Règles d'encépagement et potentiel de production</t>
  </si>
  <si>
    <t>Règles d'encépagement et potentiel de production Blanc</t>
  </si>
  <si>
    <t>Règles d'encépagement et potentiel de production Bl</t>
  </si>
  <si>
    <t xml:space="preserve">Potentiel de production maximum AOC CDP Rg/Rs </t>
  </si>
  <si>
    <t>EXPLOITATION  &lt;1,5 Ha</t>
  </si>
  <si>
    <t xml:space="preserve">Principaux </t>
  </si>
  <si>
    <t xml:space="preserve">Secondaires </t>
  </si>
  <si>
    <t>Superficie non revendicable</t>
  </si>
  <si>
    <t>TOTAL ENCÉPAGEMENT</t>
  </si>
  <si>
    <t>CÉPAGES</t>
  </si>
  <si>
    <t>Potentiel de production maximum AOC Côtes de Provence</t>
  </si>
  <si>
    <t>Superficie parcelle (ha)</t>
  </si>
  <si>
    <t>Si plantation de VIFA Blancs :</t>
  </si>
  <si>
    <t xml:space="preserve"> (voir V. Encépagement, 1° Encépagement et 2° Règles de proportion à l'exploitation)</t>
  </si>
  <si>
    <t>Secondaires</t>
  </si>
  <si>
    <t>Principaux</t>
  </si>
  <si>
    <t>CEPAGES</t>
  </si>
  <si>
    <t>Calculatrice du Potentiel de Production en AOC Côtes de Provence</t>
  </si>
  <si>
    <r>
      <rPr>
        <sz val="14"/>
        <color theme="1"/>
        <rFont val="Calibri"/>
        <family val="2"/>
        <scheme val="minor"/>
      </rPr>
      <t xml:space="preserve">    </t>
    </r>
    <r>
      <rPr>
        <u/>
        <sz val="14"/>
        <color theme="1"/>
        <rFont val="Calibri"/>
        <family val="2"/>
        <scheme val="minor"/>
      </rPr>
      <t>Ces superficies sont établies de la manière suivante :</t>
    </r>
  </si>
  <si>
    <r>
      <t xml:space="preserve">    </t>
    </r>
    <r>
      <rPr>
        <sz val="14"/>
        <color rgb="FFEE7EA1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après calcul et vérification d’encépagement conforme et d’âge minimal requis</t>
    </r>
  </si>
  <si>
    <r>
      <rPr>
        <sz val="14"/>
        <color rgb="FFEE7EA1"/>
        <rFont val="Calibri"/>
        <family val="2"/>
        <scheme val="minor"/>
      </rPr>
      <t xml:space="preserve">    *</t>
    </r>
    <r>
      <rPr>
        <sz val="14"/>
        <color theme="1"/>
        <rFont val="Calibri"/>
        <family val="2"/>
        <scheme val="minor"/>
      </rPr>
      <t>en respectant les règles d’encépagement du cahier des charges pour l’AOC ou la DGC concernée</t>
    </r>
  </si>
  <si>
    <r>
      <t xml:space="preserve">     </t>
    </r>
    <r>
      <rPr>
        <u/>
        <sz val="14"/>
        <color theme="1"/>
        <rFont val="Calibri"/>
        <family val="2"/>
        <scheme val="minor"/>
      </rPr>
      <t>Le potentiel de production est :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EE7EA1"/>
        <rFont val="Calibri"/>
        <family val="2"/>
        <scheme val="minor"/>
      </rPr>
      <t xml:space="preserve">     *</t>
    </r>
    <r>
      <rPr>
        <sz val="14"/>
        <color theme="1"/>
        <rFont val="Calibri"/>
        <family val="2"/>
        <scheme val="minor"/>
      </rPr>
      <t xml:space="preserve">exprimé en hectares
</t>
    </r>
    <r>
      <rPr>
        <sz val="14"/>
        <color rgb="FFEE7EA1"/>
        <rFont val="Calibri"/>
        <family val="2"/>
        <scheme val="minor"/>
      </rPr>
      <t xml:space="preserve">     *</t>
    </r>
    <r>
      <rPr>
        <sz val="14"/>
        <color theme="1"/>
        <rFont val="Calibri"/>
        <family val="2"/>
        <scheme val="minor"/>
      </rPr>
      <t>calculé pour la récolte de l’année</t>
    </r>
  </si>
  <si>
    <r>
      <rPr>
        <sz val="14"/>
        <color rgb="FFEE7EA1"/>
        <rFont val="Calibri"/>
        <family val="2"/>
        <scheme val="minor"/>
      </rPr>
      <t xml:space="preserve">     *</t>
    </r>
    <r>
      <rPr>
        <sz val="14"/>
        <color theme="1"/>
        <rFont val="Calibri"/>
        <family val="2"/>
        <scheme val="minor"/>
      </rPr>
      <t xml:space="preserve">calculé à partir des surfaces de votre fiche CVI à jour
     </t>
    </r>
    <r>
      <rPr>
        <sz val="14"/>
        <color rgb="FFEE7EA1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calculé</t>
    </r>
    <r>
      <rPr>
        <sz val="14"/>
        <color rgb="FFEE7EA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par exploitation et par contrat de métayage</t>
    </r>
  </si>
  <si>
    <r>
      <rPr>
        <sz val="14"/>
        <color theme="1"/>
        <rFont val="Calibri"/>
        <family val="2"/>
        <scheme val="minor"/>
      </rPr>
      <t xml:space="preserve">    </t>
    </r>
    <r>
      <rPr>
        <u/>
        <sz val="14"/>
        <color theme="1"/>
        <rFont val="Calibri"/>
        <family val="2"/>
        <scheme val="minor"/>
      </rPr>
      <t>Cahier des charges :</t>
    </r>
    <r>
      <rPr>
        <sz val="14"/>
        <color theme="1"/>
        <rFont val="Calibri"/>
        <family val="2"/>
        <scheme val="minor"/>
      </rPr>
      <t xml:space="preserve">      </t>
    </r>
    <r>
      <rPr>
        <sz val="14"/>
        <color theme="10"/>
        <rFont val="Calibri"/>
        <family val="2"/>
        <scheme val="minor"/>
      </rPr>
      <t xml:space="preserve"> </t>
    </r>
    <r>
      <rPr>
        <u/>
        <sz val="14"/>
        <color theme="10"/>
        <rFont val="Calibri"/>
        <family val="2"/>
        <scheme val="minor"/>
      </rPr>
      <t>CDC-Cotes-de-Provence-homologue-par-arrete-du-22-decembre-2021.pdf (syndicat-cotesdeprovence.com)</t>
    </r>
  </si>
  <si>
    <t xml:space="preserve">     *Ces règles de calcul ne s’appliquent pas aux producteurs de raisins exploitant moins de 1.5 ha. Le cas échéant, veuillez vous référer aux tableaux respectifs.</t>
  </si>
  <si>
    <t xml:space="preserve">     *En cas de présence de cépages VIFA, veuillez également vous référer au tableau concerné. </t>
  </si>
  <si>
    <t>Au moins 2 cépages principaux : superficie retenue</t>
  </si>
  <si>
    <t>SV ROSÉ</t>
  </si>
  <si>
    <t>PF ROSÉ</t>
  </si>
  <si>
    <t>LL ROSÉ</t>
  </si>
  <si>
    <t>NDA ROSÉ</t>
  </si>
  <si>
    <r>
      <t>DGC :</t>
    </r>
    <r>
      <rPr>
        <b/>
        <sz val="18"/>
        <color theme="1"/>
        <rFont val="Calibri"/>
        <family val="2"/>
        <scheme val="minor"/>
      </rPr>
      <t xml:space="preserve">    SAINTE-VICTOIRE (SV)</t>
    </r>
  </si>
  <si>
    <r>
      <rPr>
        <b/>
        <u/>
        <sz val="18"/>
        <color theme="1"/>
        <rFont val="Calibri"/>
        <family val="2"/>
        <scheme val="minor"/>
      </rPr>
      <t>DGC :</t>
    </r>
    <r>
      <rPr>
        <b/>
        <sz val="18"/>
        <color theme="1"/>
        <rFont val="Calibri"/>
        <family val="2"/>
        <scheme val="minor"/>
      </rPr>
      <t xml:space="preserve">    FRÉJUS (FR)</t>
    </r>
  </si>
  <si>
    <r>
      <rPr>
        <b/>
        <u/>
        <sz val="18"/>
        <color theme="1"/>
        <rFont val="Calibri"/>
        <family val="2"/>
        <scheme val="minor"/>
      </rPr>
      <t>DGC :</t>
    </r>
    <r>
      <rPr>
        <b/>
        <sz val="18"/>
        <color theme="1"/>
        <rFont val="Calibri"/>
        <family val="2"/>
        <scheme val="minor"/>
      </rPr>
      <t xml:space="preserve">    PIERREFEU (PF)</t>
    </r>
  </si>
  <si>
    <r>
      <rPr>
        <b/>
        <u/>
        <sz val="18"/>
        <color theme="1"/>
        <rFont val="Calibri"/>
        <family val="2"/>
        <scheme val="minor"/>
      </rPr>
      <t>DGC :</t>
    </r>
    <r>
      <rPr>
        <b/>
        <sz val="18"/>
        <color theme="1"/>
        <rFont val="Calibri"/>
        <family val="2"/>
        <scheme val="minor"/>
      </rPr>
      <t xml:space="preserve">    LA LONDE (LL)</t>
    </r>
  </si>
  <si>
    <r>
      <rPr>
        <b/>
        <u/>
        <sz val="18"/>
        <color theme="1"/>
        <rFont val="Calibri"/>
        <family val="2"/>
        <scheme val="minor"/>
      </rPr>
      <t>DGC :</t>
    </r>
    <r>
      <rPr>
        <b/>
        <sz val="18"/>
        <color theme="1"/>
        <rFont val="Calibri"/>
        <family val="2"/>
        <scheme val="minor"/>
      </rPr>
      <t xml:space="preserve">    NOTRE DAME DES ANGES (NDA)</t>
    </r>
  </si>
  <si>
    <t>FR ROUGE</t>
  </si>
  <si>
    <t>FR ROSÉ</t>
  </si>
  <si>
    <r>
      <t xml:space="preserve">    </t>
    </r>
    <r>
      <rPr>
        <u/>
        <sz val="12"/>
        <color rgb="FFFF0000"/>
        <rFont val="Calibri"/>
        <family val="2"/>
        <scheme val="minor"/>
      </rPr>
      <t>À noter :</t>
    </r>
    <r>
      <rPr>
        <sz val="12"/>
        <color rgb="FFFF0000"/>
        <rFont val="Calibri"/>
        <family val="2"/>
        <scheme val="minor"/>
      </rPr>
      <t xml:space="preserve">
    *Renseignez les surfaces propres à chaque cépages, sans arrondir les surfaces et sans prendre en compte le pourcentage de manquants.</t>
    </r>
  </si>
  <si>
    <t>    *Des onglets complémentaires propres à chaque DGC permettent de définir chaque potentiel de production indépendamment.</t>
  </si>
  <si>
    <t xml:space="preserve">          Rendez-vous sur l'onglet CDP pour commencer à calculer votre Potentiel de Production </t>
  </si>
  <si>
    <r>
      <t xml:space="preserve">    </t>
    </r>
    <r>
      <rPr>
        <sz val="14"/>
        <color rgb="FFEE7EA1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sur des parcelles classées en CDP </t>
    </r>
    <r>
      <rPr>
        <b/>
        <u/>
        <sz val="14"/>
        <color theme="1"/>
        <rFont val="Calibri"/>
        <family val="2"/>
        <scheme val="minor"/>
      </rPr>
      <t>ou</t>
    </r>
    <r>
      <rPr>
        <sz val="14"/>
        <color theme="1"/>
        <rFont val="Calibri"/>
        <family val="2"/>
        <scheme val="minor"/>
      </rPr>
      <t xml:space="preserve"> affectées en Dénomination Géographique Complémentaire (DGC) pour l’année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</si>
</sst>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Comic Sans MS"/>
      <family val="4"/>
    </font>
    <font>
      <b/>
      <sz val="8"/>
      <name val="Arial"/>
      <family val="2"/>
    </font>
    <font>
      <sz val="10"/>
      <name val="Comic Sans MS"/>
      <family val="4"/>
    </font>
    <font>
      <b/>
      <sz val="10"/>
      <name val="Arial"/>
      <family val="2"/>
    </font>
    <font>
      <b/>
      <sz val="10"/>
      <name val="Comic Sans MS"/>
      <family val="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0"/>
      <name val="Calibri"/>
      <family val="2"/>
      <scheme val="minor"/>
    </font>
    <font>
      <sz val="14"/>
      <color rgb="FFEE7EA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5E8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A3A3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39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9" fontId="0" fillId="0" borderId="5" xfId="0" applyNumberFormat="1" applyBorder="1"/>
    <xf numFmtId="0" fontId="0" fillId="0" borderId="0" xfId="0" applyAlignment="1">
      <alignment horizontal="right"/>
    </xf>
    <xf numFmtId="9" fontId="0" fillId="0" borderId="9" xfId="0" applyNumberFormat="1" applyBorder="1"/>
    <xf numFmtId="164" fontId="0" fillId="5" borderId="0" xfId="0" applyNumberFormat="1" applyFill="1"/>
    <xf numFmtId="9" fontId="0" fillId="0" borderId="2" xfId="0" applyNumberFormat="1" applyBorder="1"/>
    <xf numFmtId="0" fontId="3" fillId="4" borderId="2" xfId="0" applyFont="1" applyFill="1" applyBorder="1" applyAlignment="1">
      <alignment horizontal="center" vertical="center"/>
    </xf>
    <xf numFmtId="0" fontId="9" fillId="0" borderId="2" xfId="0" applyFont="1" applyBorder="1"/>
    <xf numFmtId="9" fontId="0" fillId="0" borderId="0" xfId="0" applyNumberFormat="1"/>
    <xf numFmtId="0" fontId="0" fillId="0" borderId="6" xfId="0" applyBorder="1"/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165" fontId="9" fillId="0" borderId="9" xfId="0" applyNumberFormat="1" applyFont="1" applyBorder="1"/>
    <xf numFmtId="164" fontId="9" fillId="0" borderId="0" xfId="0" applyNumberFormat="1" applyFont="1"/>
    <xf numFmtId="0" fontId="1" fillId="0" borderId="0" xfId="0" applyFont="1" applyAlignment="1">
      <alignment horizontal="right"/>
    </xf>
    <xf numFmtId="2" fontId="0" fillId="0" borderId="0" xfId="0" applyNumberFormat="1"/>
    <xf numFmtId="0" fontId="4" fillId="7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9" fillId="8" borderId="2" xfId="0" applyFont="1" applyFill="1" applyBorder="1"/>
    <xf numFmtId="0" fontId="8" fillId="9" borderId="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/>
    </xf>
    <xf numFmtId="9" fontId="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9" fillId="0" borderId="0" xfId="0" applyNumberFormat="1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64" fontId="11" fillId="0" borderId="0" xfId="0" applyNumberFormat="1" applyFont="1"/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164" fontId="0" fillId="0" borderId="4" xfId="0" applyNumberFormat="1" applyBorder="1"/>
    <xf numFmtId="164" fontId="9" fillId="0" borderId="2" xfId="0" applyNumberFormat="1" applyFont="1" applyBorder="1"/>
    <xf numFmtId="164" fontId="12" fillId="0" borderId="0" xfId="0" applyNumberFormat="1" applyFont="1"/>
    <xf numFmtId="0" fontId="1" fillId="0" borderId="0" xfId="0" applyFont="1" applyAlignment="1">
      <alignment vertical="center" wrapText="1"/>
    </xf>
    <xf numFmtId="164" fontId="0" fillId="0" borderId="0" xfId="0" applyNumberFormat="1" applyAlignment="1">
      <alignment vertical="center"/>
    </xf>
    <xf numFmtId="164" fontId="9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164" fontId="9" fillId="0" borderId="2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165" fontId="9" fillId="0" borderId="2" xfId="0" applyNumberFormat="1" applyFont="1" applyBorder="1"/>
    <xf numFmtId="0" fontId="7" fillId="0" borderId="2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164" fontId="9" fillId="0" borderId="19" xfId="0" applyNumberFormat="1" applyFont="1" applyBorder="1"/>
    <xf numFmtId="0" fontId="0" fillId="0" borderId="39" xfId="0" applyBorder="1"/>
    <xf numFmtId="0" fontId="3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wrapText="1"/>
    </xf>
    <xf numFmtId="0" fontId="7" fillId="0" borderId="39" xfId="0" applyFont="1" applyBorder="1" applyAlignment="1">
      <alignment horizontal="center" vertical="center" wrapText="1"/>
    </xf>
    <xf numFmtId="0" fontId="0" fillId="0" borderId="39" xfId="0" applyBorder="1" applyAlignment="1">
      <alignment horizontal="right"/>
    </xf>
    <xf numFmtId="0" fontId="9" fillId="0" borderId="39" xfId="0" applyFont="1" applyBorder="1"/>
    <xf numFmtId="0" fontId="1" fillId="0" borderId="39" xfId="0" applyFont="1" applyBorder="1" applyAlignment="1">
      <alignment wrapText="1"/>
    </xf>
    <xf numFmtId="0" fontId="0" fillId="0" borderId="40" xfId="0" applyBorder="1"/>
    <xf numFmtId="0" fontId="8" fillId="9" borderId="4" xfId="0" applyFont="1" applyFill="1" applyBorder="1" applyAlignment="1">
      <alignment horizontal="center" vertical="center" shrinkToFit="1"/>
    </xf>
    <xf numFmtId="164" fontId="0" fillId="0" borderId="39" xfId="0" applyNumberFormat="1" applyBorder="1"/>
    <xf numFmtId="0" fontId="1" fillId="0" borderId="39" xfId="0" applyFont="1" applyBorder="1"/>
    <xf numFmtId="1" fontId="0" fillId="0" borderId="39" xfId="0" applyNumberFormat="1" applyBorder="1"/>
    <xf numFmtId="0" fontId="1" fillId="0" borderId="39" xfId="0" applyFont="1" applyBorder="1" applyAlignment="1">
      <alignment vertical="center" wrapText="1"/>
    </xf>
    <xf numFmtId="164" fontId="0" fillId="0" borderId="39" xfId="0" applyNumberForma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9" fontId="0" fillId="0" borderId="39" xfId="0" applyNumberFormat="1" applyBorder="1"/>
    <xf numFmtId="164" fontId="9" fillId="0" borderId="39" xfId="0" applyNumberFormat="1" applyFont="1" applyBorder="1" applyAlignment="1">
      <alignment horizontal="right"/>
    </xf>
    <xf numFmtId="164" fontId="9" fillId="0" borderId="39" xfId="0" applyNumberFormat="1" applyFont="1" applyBorder="1" applyAlignment="1">
      <alignment horizontal="left"/>
    </xf>
    <xf numFmtId="164" fontId="0" fillId="5" borderId="39" xfId="0" applyNumberFormat="1" applyFill="1" applyBorder="1"/>
    <xf numFmtId="164" fontId="11" fillId="0" borderId="39" xfId="0" applyNumberFormat="1" applyFont="1" applyBorder="1"/>
    <xf numFmtId="164" fontId="9" fillId="0" borderId="39" xfId="0" applyNumberFormat="1" applyFont="1" applyBorder="1"/>
    <xf numFmtId="0" fontId="13" fillId="0" borderId="39" xfId="0" applyFont="1" applyBorder="1"/>
    <xf numFmtId="0" fontId="3" fillId="4" borderId="39" xfId="0" applyFont="1" applyFill="1" applyBorder="1" applyAlignment="1">
      <alignment horizontal="center" vertical="center"/>
    </xf>
    <xf numFmtId="164" fontId="0" fillId="0" borderId="39" xfId="0" applyNumberFormat="1" applyBorder="1" applyAlignment="1">
      <alignment horizontal="right"/>
    </xf>
    <xf numFmtId="165" fontId="9" fillId="0" borderId="39" xfId="0" applyNumberFormat="1" applyFont="1" applyBorder="1"/>
    <xf numFmtId="0" fontId="9" fillId="0" borderId="39" xfId="0" applyFont="1" applyBorder="1" applyAlignment="1">
      <alignment horizontal="center"/>
    </xf>
    <xf numFmtId="0" fontId="8" fillId="7" borderId="39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right" vertical="center" wrapText="1"/>
    </xf>
    <xf numFmtId="0" fontId="1" fillId="0" borderId="39" xfId="0" applyFont="1" applyBorder="1" applyAlignment="1">
      <alignment horizontal="right"/>
    </xf>
    <xf numFmtId="2" fontId="0" fillId="0" borderId="39" xfId="0" applyNumberFormat="1" applyBorder="1"/>
    <xf numFmtId="0" fontId="8" fillId="7" borderId="39" xfId="0" applyFont="1" applyFill="1" applyBorder="1" applyAlignment="1">
      <alignment horizontal="center" vertical="center" shrinkToFit="1"/>
    </xf>
    <xf numFmtId="0" fontId="4" fillId="7" borderId="39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 shrinkToFit="1"/>
    </xf>
    <xf numFmtId="0" fontId="10" fillId="8" borderId="39" xfId="0" applyFont="1" applyFill="1" applyBorder="1" applyAlignment="1">
      <alignment horizontal="center" vertical="center"/>
    </xf>
    <xf numFmtId="0" fontId="9" fillId="8" borderId="39" xfId="0" applyFont="1" applyFill="1" applyBorder="1"/>
    <xf numFmtId="0" fontId="8" fillId="9" borderId="39" xfId="0" applyFont="1" applyFill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/>
    </xf>
    <xf numFmtId="0" fontId="8" fillId="9" borderId="39" xfId="0" applyFont="1" applyFill="1" applyBorder="1" applyAlignment="1">
      <alignment horizontal="center" vertical="center"/>
    </xf>
    <xf numFmtId="0" fontId="4" fillId="9" borderId="39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 wrapText="1"/>
    </xf>
    <xf numFmtId="9" fontId="1" fillId="0" borderId="39" xfId="0" applyNumberFormat="1" applyFont="1" applyBorder="1" applyAlignment="1">
      <alignment horizontal="right"/>
    </xf>
    <xf numFmtId="164" fontId="3" fillId="0" borderId="39" xfId="0" applyNumberFormat="1" applyFont="1" applyBorder="1" applyAlignment="1">
      <alignment horizontal="center" vertical="center" wrapText="1"/>
    </xf>
    <xf numFmtId="164" fontId="9" fillId="8" borderId="39" xfId="0" applyNumberFormat="1" applyFont="1" applyFill="1" applyBorder="1"/>
    <xf numFmtId="0" fontId="3" fillId="0" borderId="39" xfId="0" applyFont="1" applyBorder="1" applyAlignment="1">
      <alignment horizontal="center" vertical="center" wrapText="1"/>
    </xf>
    <xf numFmtId="0" fontId="0" fillId="0" borderId="41" xfId="0" applyBorder="1"/>
    <xf numFmtId="0" fontId="3" fillId="0" borderId="41" xfId="0" applyFont="1" applyBorder="1" applyAlignment="1">
      <alignment horizontal="right" vertical="center"/>
    </xf>
    <xf numFmtId="0" fontId="0" fillId="0" borderId="41" xfId="0" applyBorder="1" applyAlignment="1">
      <alignment horizontal="right"/>
    </xf>
    <xf numFmtId="0" fontId="9" fillId="0" borderId="41" xfId="0" applyFont="1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3" fillId="0" borderId="43" xfId="0" applyFont="1" applyBorder="1" applyAlignment="1">
      <alignment vertical="center" wrapText="1"/>
    </xf>
    <xf numFmtId="0" fontId="7" fillId="0" borderId="43" xfId="0" applyFont="1" applyBorder="1" applyAlignment="1">
      <alignment horizontal="left" vertical="center" wrapText="1"/>
    </xf>
    <xf numFmtId="164" fontId="9" fillId="0" borderId="43" xfId="0" applyNumberFormat="1" applyFont="1" applyBorder="1" applyAlignment="1">
      <alignment horizontal="right"/>
    </xf>
    <xf numFmtId="0" fontId="0" fillId="0" borderId="51" xfId="0" applyBorder="1"/>
    <xf numFmtId="0" fontId="3" fillId="0" borderId="41" xfId="0" applyFont="1" applyBorder="1" applyAlignment="1">
      <alignment horizontal="center" vertical="center" wrapText="1"/>
    </xf>
    <xf numFmtId="0" fontId="0" fillId="0" borderId="52" xfId="0" applyBorder="1"/>
    <xf numFmtId="0" fontId="8" fillId="17" borderId="34" xfId="0" applyFont="1" applyFill="1" applyBorder="1" applyAlignment="1">
      <alignment horizontal="center" vertical="center" shrinkToFit="1"/>
    </xf>
    <xf numFmtId="0" fontId="8" fillId="17" borderId="10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164" fontId="9" fillId="0" borderId="30" xfId="0" applyNumberFormat="1" applyFont="1" applyBorder="1"/>
    <xf numFmtId="0" fontId="2" fillId="0" borderId="53" xfId="0" applyFont="1" applyBorder="1" applyAlignment="1">
      <alignment horizontal="center" vertical="center" wrapText="1"/>
    </xf>
    <xf numFmtId="0" fontId="0" fillId="0" borderId="53" xfId="0" applyBorder="1"/>
    <xf numFmtId="0" fontId="0" fillId="0" borderId="54" xfId="0" applyBorder="1"/>
    <xf numFmtId="0" fontId="8" fillId="16" borderId="34" xfId="0" applyFont="1" applyFill="1" applyBorder="1" applyAlignment="1">
      <alignment horizontal="center" vertical="center"/>
    </xf>
    <xf numFmtId="0" fontId="8" fillId="16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16" borderId="10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164" fontId="9" fillId="0" borderId="29" xfId="0" applyNumberFormat="1" applyFont="1" applyBorder="1"/>
    <xf numFmtId="0" fontId="5" fillId="0" borderId="41" xfId="0" applyFont="1" applyBorder="1" applyAlignment="1">
      <alignment wrapText="1"/>
    </xf>
    <xf numFmtId="0" fontId="9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8" fillId="15" borderId="26" xfId="0" applyFont="1" applyFill="1" applyBorder="1" applyAlignment="1">
      <alignment horizontal="center" vertical="center"/>
    </xf>
    <xf numFmtId="0" fontId="8" fillId="15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55" xfId="0" applyBorder="1"/>
    <xf numFmtId="0" fontId="0" fillId="0" borderId="42" xfId="0" applyBorder="1"/>
    <xf numFmtId="0" fontId="15" fillId="5" borderId="23" xfId="0" applyFont="1" applyFill="1" applyBorder="1" applyAlignment="1">
      <alignment horizontal="center" vertical="center"/>
    </xf>
    <xf numFmtId="164" fontId="15" fillId="5" borderId="25" xfId="0" applyNumberFormat="1" applyFont="1" applyFill="1" applyBorder="1"/>
    <xf numFmtId="0" fontId="9" fillId="0" borderId="55" xfId="0" applyFont="1" applyBorder="1"/>
    <xf numFmtId="0" fontId="0" fillId="0" borderId="64" xfId="0" applyBorder="1"/>
    <xf numFmtId="0" fontId="5" fillId="0" borderId="40" xfId="0" applyFont="1" applyBorder="1" applyAlignment="1">
      <alignment wrapText="1"/>
    </xf>
    <xf numFmtId="0" fontId="7" fillId="0" borderId="39" xfId="0" applyFont="1" applyBorder="1" applyAlignment="1">
      <alignment vertical="center"/>
    </xf>
    <xf numFmtId="0" fontId="0" fillId="0" borderId="65" xfId="0" applyBorder="1"/>
    <xf numFmtId="0" fontId="3" fillId="0" borderId="40" xfId="0" applyFont="1" applyBorder="1" applyAlignment="1">
      <alignment horizontal="right" vertical="center"/>
    </xf>
    <xf numFmtId="0" fontId="0" fillId="0" borderId="0" xfId="0" applyAlignment="1">
      <alignment vertical="top"/>
    </xf>
    <xf numFmtId="0" fontId="0" fillId="0" borderId="39" xfId="0" applyBorder="1" applyAlignment="1">
      <alignment vertical="top"/>
    </xf>
    <xf numFmtId="0" fontId="0" fillId="4" borderId="2" xfId="0" applyFill="1" applyBorder="1"/>
    <xf numFmtId="0" fontId="0" fillId="4" borderId="4" xfId="0" applyFill="1" applyBorder="1"/>
    <xf numFmtId="0" fontId="12" fillId="0" borderId="0" xfId="0" applyFont="1" applyAlignment="1">
      <alignment vertical="center"/>
    </xf>
    <xf numFmtId="0" fontId="12" fillId="0" borderId="39" xfId="0" applyFont="1" applyBorder="1" applyAlignment="1">
      <alignment vertical="center"/>
    </xf>
    <xf numFmtId="0" fontId="12" fillId="0" borderId="5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right"/>
    </xf>
    <xf numFmtId="0" fontId="12" fillId="0" borderId="43" xfId="0" applyFont="1" applyBorder="1" applyAlignment="1">
      <alignment vertical="center"/>
    </xf>
    <xf numFmtId="0" fontId="5" fillId="0" borderId="44" xfId="0" applyFont="1" applyBorder="1" applyAlignment="1">
      <alignment wrapText="1"/>
    </xf>
    <xf numFmtId="0" fontId="7" fillId="0" borderId="44" xfId="0" applyFont="1" applyBorder="1" applyAlignment="1">
      <alignment horizontal="center" vertical="center" wrapText="1"/>
    </xf>
    <xf numFmtId="0" fontId="1" fillId="0" borderId="44" xfId="0" applyFont="1" applyBorder="1" applyAlignment="1">
      <alignment vertical="center" wrapText="1"/>
    </xf>
    <xf numFmtId="164" fontId="0" fillId="0" borderId="44" xfId="0" applyNumberFormat="1" applyBorder="1" applyAlignment="1">
      <alignment vertical="center"/>
    </xf>
    <xf numFmtId="164" fontId="0" fillId="0" borderId="44" xfId="0" applyNumberFormat="1" applyBorder="1"/>
    <xf numFmtId="0" fontId="6" fillId="0" borderId="44" xfId="0" applyFont="1" applyBorder="1" applyAlignment="1">
      <alignment horizontal="center" vertical="center"/>
    </xf>
    <xf numFmtId="0" fontId="1" fillId="0" borderId="44" xfId="0" applyFont="1" applyBorder="1"/>
    <xf numFmtId="0" fontId="1" fillId="0" borderId="44" xfId="0" applyFont="1" applyBorder="1" applyAlignment="1">
      <alignment wrapText="1"/>
    </xf>
    <xf numFmtId="0" fontId="5" fillId="3" borderId="4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 shrinkToFit="1"/>
    </xf>
    <xf numFmtId="0" fontId="5" fillId="5" borderId="44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/>
    </xf>
    <xf numFmtId="164" fontId="12" fillId="0" borderId="4" xfId="0" applyNumberFormat="1" applyFont="1" applyBorder="1"/>
    <xf numFmtId="0" fontId="10" fillId="8" borderId="4" xfId="0" applyFont="1" applyFill="1" applyBorder="1" applyAlignment="1">
      <alignment horizontal="center" vertical="center"/>
    </xf>
    <xf numFmtId="0" fontId="9" fillId="8" borderId="4" xfId="0" applyFont="1" applyFill="1" applyBorder="1"/>
    <xf numFmtId="165" fontId="9" fillId="0" borderId="5" xfId="0" applyNumberFormat="1" applyFont="1" applyBorder="1"/>
    <xf numFmtId="164" fontId="9" fillId="0" borderId="28" xfId="0" applyNumberFormat="1" applyFont="1" applyBorder="1"/>
    <xf numFmtId="164" fontId="9" fillId="0" borderId="44" xfId="0" applyNumberFormat="1" applyFont="1" applyBorder="1"/>
    <xf numFmtId="164" fontId="9" fillId="0" borderId="16" xfId="0" applyNumberFormat="1" applyFont="1" applyBorder="1"/>
    <xf numFmtId="0" fontId="0" fillId="0" borderId="39" xfId="0" applyBorder="1" applyAlignment="1">
      <alignment horizontal="center"/>
    </xf>
    <xf numFmtId="164" fontId="9" fillId="0" borderId="44" xfId="0" applyNumberFormat="1" applyFont="1" applyBorder="1" applyAlignment="1">
      <alignment horizontal="right"/>
    </xf>
    <xf numFmtId="0" fontId="9" fillId="0" borderId="43" xfId="0" applyFont="1" applyBorder="1"/>
    <xf numFmtId="0" fontId="3" fillId="0" borderId="43" xfId="0" applyFont="1" applyBorder="1" applyAlignment="1">
      <alignment horizontal="center" vertical="center"/>
    </xf>
    <xf numFmtId="0" fontId="7" fillId="0" borderId="39" xfId="0" applyFont="1" applyBorder="1" applyAlignment="1">
      <alignment vertical="center" wrapText="1"/>
    </xf>
    <xf numFmtId="9" fontId="0" fillId="0" borderId="44" xfId="0" applyNumberFormat="1" applyBorder="1"/>
    <xf numFmtId="0" fontId="0" fillId="0" borderId="44" xfId="0" applyBorder="1" applyAlignment="1">
      <alignment horizontal="right"/>
    </xf>
    <xf numFmtId="0" fontId="0" fillId="16" borderId="36" xfId="0" applyFill="1" applyBorder="1"/>
    <xf numFmtId="0" fontId="9" fillId="10" borderId="30" xfId="0" applyFont="1" applyFill="1" applyBorder="1"/>
    <xf numFmtId="0" fontId="9" fillId="0" borderId="44" xfId="0" applyFont="1" applyBorder="1"/>
    <xf numFmtId="0" fontId="10" fillId="5" borderId="23" xfId="0" applyFont="1" applyFill="1" applyBorder="1" applyAlignment="1">
      <alignment horizontal="center" vertical="center"/>
    </xf>
    <xf numFmtId="0" fontId="9" fillId="5" borderId="25" xfId="0" applyFont="1" applyFill="1" applyBorder="1"/>
    <xf numFmtId="0" fontId="3" fillId="10" borderId="67" xfId="0" applyFont="1" applyFill="1" applyBorder="1" applyAlignment="1">
      <alignment horizontal="center" vertical="center"/>
    </xf>
    <xf numFmtId="0" fontId="9" fillId="10" borderId="68" xfId="0" applyFont="1" applyFill="1" applyBorder="1"/>
    <xf numFmtId="0" fontId="6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9" fontId="0" fillId="0" borderId="12" xfId="0" applyNumberFormat="1" applyBorder="1"/>
    <xf numFmtId="0" fontId="0" fillId="0" borderId="12" xfId="0" applyBorder="1"/>
    <xf numFmtId="0" fontId="7" fillId="0" borderId="44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center"/>
    </xf>
    <xf numFmtId="9" fontId="0" fillId="0" borderId="69" xfId="0" applyNumberFormat="1" applyBorder="1"/>
    <xf numFmtId="0" fontId="0" fillId="0" borderId="70" xfId="0" applyBorder="1"/>
    <xf numFmtId="0" fontId="1" fillId="0" borderId="41" xfId="0" applyFont="1" applyBorder="1" applyAlignment="1">
      <alignment wrapText="1"/>
    </xf>
    <xf numFmtId="0" fontId="0" fillId="16" borderId="29" xfId="0" applyFill="1" applyBorder="1"/>
    <xf numFmtId="0" fontId="9" fillId="0" borderId="30" xfId="0" applyFont="1" applyBorder="1"/>
    <xf numFmtId="0" fontId="0" fillId="17" borderId="36" xfId="0" applyFill="1" applyBorder="1"/>
    <xf numFmtId="0" fontId="0" fillId="17" borderId="29" xfId="0" applyFill="1" applyBorder="1"/>
    <xf numFmtId="0" fontId="7" fillId="0" borderId="41" xfId="0" applyFont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right"/>
    </xf>
    <xf numFmtId="0" fontId="3" fillId="10" borderId="11" xfId="0" applyFont="1" applyFill="1" applyBorder="1" applyAlignment="1">
      <alignment horizontal="center" vertical="center"/>
    </xf>
    <xf numFmtId="0" fontId="9" fillId="0" borderId="12" xfId="0" applyFont="1" applyBorder="1"/>
    <xf numFmtId="9" fontId="0" fillId="0" borderId="71" xfId="0" applyNumberFormat="1" applyBorder="1"/>
    <xf numFmtId="0" fontId="9" fillId="0" borderId="70" xfId="0" applyFont="1" applyBorder="1"/>
    <xf numFmtId="0" fontId="0" fillId="0" borderId="68" xfId="0" applyBorder="1" applyAlignment="1">
      <alignment horizontal="right"/>
    </xf>
    <xf numFmtId="0" fontId="9" fillId="0" borderId="68" xfId="0" applyFont="1" applyBorder="1"/>
    <xf numFmtId="0" fontId="0" fillId="0" borderId="70" xfId="0" applyBorder="1" applyAlignment="1">
      <alignment horizontal="right"/>
    </xf>
    <xf numFmtId="164" fontId="9" fillId="0" borderId="41" xfId="0" applyNumberFormat="1" applyFont="1" applyBorder="1" applyAlignment="1">
      <alignment horizontal="right"/>
    </xf>
    <xf numFmtId="164" fontId="9" fillId="0" borderId="49" xfId="0" applyNumberFormat="1" applyFont="1" applyBorder="1"/>
    <xf numFmtId="164" fontId="3" fillId="0" borderId="41" xfId="0" applyNumberFormat="1" applyFont="1" applyBorder="1" applyAlignment="1">
      <alignment horizontal="center" vertical="center" wrapText="1"/>
    </xf>
    <xf numFmtId="164" fontId="0" fillId="0" borderId="70" xfId="0" applyNumberFormat="1" applyBorder="1" applyAlignment="1">
      <alignment horizontal="right"/>
    </xf>
    <xf numFmtId="0" fontId="2" fillId="0" borderId="41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164" fontId="0" fillId="0" borderId="44" xfId="0" applyNumberFormat="1" applyBorder="1" applyAlignment="1">
      <alignment horizontal="right"/>
    </xf>
    <xf numFmtId="9" fontId="0" fillId="0" borderId="75" xfId="0" applyNumberFormat="1" applyBorder="1"/>
    <xf numFmtId="0" fontId="8" fillId="4" borderId="76" xfId="0" applyFont="1" applyFill="1" applyBorder="1" applyAlignment="1">
      <alignment horizontal="center" vertical="center"/>
    </xf>
    <xf numFmtId="9" fontId="0" fillId="0" borderId="55" xfId="0" applyNumberFormat="1" applyBorder="1"/>
    <xf numFmtId="0" fontId="7" fillId="0" borderId="43" xfId="0" applyFont="1" applyBorder="1" applyAlignment="1">
      <alignment horizontal="right" vertical="center" wrapText="1"/>
    </xf>
    <xf numFmtId="165" fontId="9" fillId="0" borderId="43" xfId="0" applyNumberFormat="1" applyFont="1" applyBorder="1"/>
    <xf numFmtId="0" fontId="7" fillId="0" borderId="44" xfId="0" applyFont="1" applyBorder="1" applyAlignment="1">
      <alignment horizontal="right" vertical="center" wrapText="1"/>
    </xf>
    <xf numFmtId="165" fontId="9" fillId="0" borderId="44" xfId="0" applyNumberFormat="1" applyFont="1" applyBorder="1"/>
    <xf numFmtId="164" fontId="9" fillId="0" borderId="41" xfId="0" applyNumberFormat="1" applyFont="1" applyBorder="1"/>
    <xf numFmtId="9" fontId="0" fillId="0" borderId="41" xfId="0" applyNumberFormat="1" applyBorder="1"/>
    <xf numFmtId="0" fontId="0" fillId="0" borderId="49" xfId="0" applyBorder="1" applyAlignment="1">
      <alignment horizontal="right"/>
    </xf>
    <xf numFmtId="9" fontId="0" fillId="0" borderId="66" xfId="0" applyNumberFormat="1" applyBorder="1"/>
    <xf numFmtId="9" fontId="0" fillId="0" borderId="30" xfId="0" applyNumberFormat="1" applyBorder="1"/>
    <xf numFmtId="0" fontId="3" fillId="0" borderId="41" xfId="0" applyFont="1" applyBorder="1" applyAlignment="1">
      <alignment horizontal="center" vertical="center"/>
    </xf>
    <xf numFmtId="0" fontId="8" fillId="19" borderId="34" xfId="0" applyFont="1" applyFill="1" applyBorder="1" applyAlignment="1">
      <alignment horizontal="center" vertical="center"/>
    </xf>
    <xf numFmtId="0" fontId="0" fillId="19" borderId="36" xfId="0" applyFill="1" applyBorder="1"/>
    <xf numFmtId="0" fontId="8" fillId="19" borderId="10" xfId="0" applyFont="1" applyFill="1" applyBorder="1" applyAlignment="1">
      <alignment horizontal="center" vertical="center"/>
    </xf>
    <xf numFmtId="0" fontId="0" fillId="19" borderId="29" xfId="0" applyFill="1" applyBorder="1"/>
    <xf numFmtId="0" fontId="8" fillId="19" borderId="10" xfId="0" applyFont="1" applyFill="1" applyBorder="1" applyAlignment="1">
      <alignment horizontal="center" vertical="center" shrinkToFit="1"/>
    </xf>
    <xf numFmtId="0" fontId="9" fillId="0" borderId="49" xfId="0" applyFont="1" applyBorder="1"/>
    <xf numFmtId="9" fontId="0" fillId="0" borderId="79" xfId="0" applyNumberFormat="1" applyBorder="1"/>
    <xf numFmtId="0" fontId="0" fillId="0" borderId="80" xfId="0" applyBorder="1"/>
    <xf numFmtId="0" fontId="9" fillId="0" borderId="41" xfId="0" applyFont="1" applyBorder="1" applyAlignment="1">
      <alignment horizontal="center"/>
    </xf>
    <xf numFmtId="0" fontId="5" fillId="0" borderId="82" xfId="0" applyFont="1" applyBorder="1" applyAlignment="1">
      <alignment wrapText="1"/>
    </xf>
    <xf numFmtId="0" fontId="9" fillId="0" borderId="53" xfId="0" applyFont="1" applyBorder="1"/>
    <xf numFmtId="0" fontId="1" fillId="0" borderId="40" xfId="0" applyFont="1" applyBorder="1" applyAlignment="1">
      <alignment wrapText="1"/>
    </xf>
    <xf numFmtId="0" fontId="7" fillId="0" borderId="55" xfId="0" applyFont="1" applyBorder="1" applyAlignment="1">
      <alignment horizontal="center" vertical="center" wrapText="1"/>
    </xf>
    <xf numFmtId="0" fontId="5" fillId="0" borderId="83" xfId="0" applyFont="1" applyBorder="1" applyAlignment="1">
      <alignment wrapText="1"/>
    </xf>
    <xf numFmtId="0" fontId="5" fillId="0" borderId="64" xfId="0" applyFont="1" applyBorder="1" applyAlignment="1">
      <alignment wrapText="1"/>
    </xf>
    <xf numFmtId="0" fontId="7" fillId="0" borderId="64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0" fillId="0" borderId="88" xfId="0" applyBorder="1"/>
    <xf numFmtId="0" fontId="9" fillId="0" borderId="89" xfId="0" applyFont="1" applyBorder="1"/>
    <xf numFmtId="0" fontId="0" fillId="0" borderId="90" xfId="0" applyBorder="1"/>
    <xf numFmtId="0" fontId="0" fillId="0" borderId="83" xfId="0" applyBorder="1"/>
    <xf numFmtId="0" fontId="0" fillId="0" borderId="84" xfId="0" applyBorder="1"/>
    <xf numFmtId="0" fontId="0" fillId="0" borderId="91" xfId="0" applyBorder="1"/>
    <xf numFmtId="0" fontId="0" fillId="0" borderId="92" xfId="0" applyBorder="1"/>
    <xf numFmtId="0" fontId="3" fillId="0" borderId="87" xfId="0" applyFont="1" applyBorder="1" applyAlignment="1">
      <alignment vertical="center" wrapText="1"/>
    </xf>
    <xf numFmtId="164" fontId="9" fillId="0" borderId="88" xfId="0" applyNumberFormat="1" applyFont="1" applyBorder="1" applyAlignment="1">
      <alignment horizontal="right"/>
    </xf>
    <xf numFmtId="164" fontId="9" fillId="0" borderId="90" xfId="0" applyNumberFormat="1" applyFont="1" applyBorder="1"/>
    <xf numFmtId="0" fontId="0" fillId="0" borderId="89" xfId="0" applyBorder="1"/>
    <xf numFmtId="0" fontId="9" fillId="0" borderId="90" xfId="0" applyFont="1" applyBorder="1" applyAlignment="1">
      <alignment horizontal="center"/>
    </xf>
    <xf numFmtId="0" fontId="8" fillId="0" borderId="91" xfId="0" applyFont="1" applyBorder="1" applyAlignment="1">
      <alignment horizontal="center" vertical="center" shrinkToFit="1"/>
    </xf>
    <xf numFmtId="0" fontId="10" fillId="0" borderId="89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164" fontId="9" fillId="0" borderId="90" xfId="0" applyNumberFormat="1" applyFont="1" applyBorder="1" applyAlignment="1">
      <alignment horizontal="right"/>
    </xf>
    <xf numFmtId="164" fontId="9" fillId="0" borderId="55" xfId="0" applyNumberFormat="1" applyFont="1" applyBorder="1" applyAlignment="1">
      <alignment horizontal="right"/>
    </xf>
    <xf numFmtId="0" fontId="3" fillId="0" borderId="49" xfId="0" applyFont="1" applyBorder="1" applyAlignment="1">
      <alignment horizontal="center" vertical="center"/>
    </xf>
    <xf numFmtId="0" fontId="0" fillId="0" borderId="90" xfId="0" applyBorder="1" applyAlignment="1">
      <alignment horizontal="right"/>
    </xf>
    <xf numFmtId="0" fontId="9" fillId="0" borderId="86" xfId="0" applyFont="1" applyBorder="1" applyAlignment="1">
      <alignment horizontal="center"/>
    </xf>
    <xf numFmtId="0" fontId="0" fillId="0" borderId="55" xfId="0" applyBorder="1" applyAlignment="1">
      <alignment horizontal="right"/>
    </xf>
    <xf numFmtId="164" fontId="9" fillId="0" borderId="88" xfId="0" applyNumberFormat="1" applyFont="1" applyBorder="1"/>
    <xf numFmtId="0" fontId="7" fillId="0" borderId="86" xfId="0" applyFont="1" applyBorder="1" applyAlignment="1">
      <alignment vertical="center" wrapText="1"/>
    </xf>
    <xf numFmtId="0" fontId="28" fillId="0" borderId="39" xfId="0" applyFont="1" applyBorder="1"/>
    <xf numFmtId="0" fontId="19" fillId="0" borderId="96" xfId="0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16" fillId="0" borderId="97" xfId="0" applyFont="1" applyBorder="1" applyAlignment="1">
      <alignment horizontal="left" vertical="center" wrapText="1"/>
    </xf>
    <xf numFmtId="0" fontId="0" fillId="0" borderId="98" xfId="0" applyBorder="1"/>
    <xf numFmtId="0" fontId="21" fillId="0" borderId="99" xfId="0" applyFont="1" applyBorder="1" applyAlignment="1">
      <alignment horizontal="left" vertical="center"/>
    </xf>
    <xf numFmtId="0" fontId="16" fillId="0" borderId="99" xfId="0" applyFont="1" applyBorder="1" applyAlignment="1">
      <alignment horizontal="left" vertical="center"/>
    </xf>
    <xf numFmtId="0" fontId="16" fillId="0" borderId="97" xfId="0" applyFont="1" applyBorder="1" applyAlignment="1">
      <alignment horizontal="left" vertical="center"/>
    </xf>
    <xf numFmtId="0" fontId="0" fillId="0" borderId="97" xfId="0" applyBorder="1"/>
    <xf numFmtId="0" fontId="17" fillId="0" borderId="97" xfId="1" applyFont="1" applyBorder="1" applyAlignment="1">
      <alignment horizontal="left" vertical="center" wrapText="1"/>
    </xf>
    <xf numFmtId="0" fontId="18" fillId="0" borderId="100" xfId="0" applyFont="1" applyBorder="1" applyAlignment="1">
      <alignment horizontal="center" vertical="center"/>
    </xf>
    <xf numFmtId="0" fontId="0" fillId="0" borderId="99" xfId="0" applyBorder="1"/>
    <xf numFmtId="0" fontId="24" fillId="0" borderId="97" xfId="0" applyFont="1" applyBorder="1" applyAlignment="1">
      <alignment horizontal="left" vertical="center" wrapText="1"/>
    </xf>
    <xf numFmtId="0" fontId="24" fillId="0" borderId="98" xfId="0" applyFont="1" applyBorder="1" applyAlignment="1">
      <alignment vertical="center"/>
    </xf>
    <xf numFmtId="0" fontId="13" fillId="0" borderId="101" xfId="0" applyFont="1" applyBorder="1" applyAlignment="1">
      <alignment horizontal="left" vertical="center"/>
    </xf>
    <xf numFmtId="0" fontId="29" fillId="0" borderId="97" xfId="0" applyFont="1" applyBorder="1" applyAlignment="1">
      <alignment horizontal="left" vertical="center"/>
    </xf>
    <xf numFmtId="0" fontId="7" fillId="0" borderId="44" xfId="0" applyFont="1" applyBorder="1" applyAlignment="1">
      <alignment vertical="center" wrapText="1"/>
    </xf>
    <xf numFmtId="0" fontId="7" fillId="0" borderId="90" xfId="0" applyFont="1" applyBorder="1" applyAlignment="1">
      <alignment vertical="center" wrapText="1"/>
    </xf>
    <xf numFmtId="0" fontId="8" fillId="17" borderId="34" xfId="0" applyFont="1" applyFill="1" applyBorder="1" applyAlignment="1">
      <alignment horizontal="center" vertical="center"/>
    </xf>
    <xf numFmtId="0" fontId="8" fillId="17" borderId="10" xfId="0" applyFont="1" applyFill="1" applyBorder="1" applyAlignment="1">
      <alignment horizontal="center" vertical="center" shrinkToFit="1"/>
    </xf>
    <xf numFmtId="164" fontId="0" fillId="15" borderId="27" xfId="0" applyNumberFormat="1" applyFill="1" applyBorder="1" applyProtection="1">
      <protection locked="0"/>
    </xf>
    <xf numFmtId="164" fontId="0" fillId="15" borderId="29" xfId="0" applyNumberFormat="1" applyFill="1" applyBorder="1" applyProtection="1">
      <protection locked="0"/>
    </xf>
    <xf numFmtId="164" fontId="0" fillId="16" borderId="36" xfId="0" applyNumberFormat="1" applyFill="1" applyBorder="1" applyProtection="1">
      <protection locked="0"/>
    </xf>
    <xf numFmtId="164" fontId="0" fillId="16" borderId="29" xfId="0" applyNumberFormat="1" applyFill="1" applyBorder="1" applyProtection="1">
      <protection locked="0"/>
    </xf>
    <xf numFmtId="164" fontId="0" fillId="17" borderId="29" xfId="0" applyNumberFormat="1" applyFill="1" applyBorder="1" applyProtection="1">
      <protection locked="0"/>
    </xf>
    <xf numFmtId="164" fontId="0" fillId="17" borderId="36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16" borderId="36" xfId="0" applyFill="1" applyBorder="1" applyProtection="1">
      <protection locked="0"/>
    </xf>
    <xf numFmtId="0" fontId="0" fillId="16" borderId="29" xfId="0" applyFill="1" applyBorder="1" applyProtection="1">
      <protection locked="0"/>
    </xf>
    <xf numFmtId="0" fontId="0" fillId="17" borderId="36" xfId="0" applyFill="1" applyBorder="1" applyProtection="1">
      <protection locked="0"/>
    </xf>
    <xf numFmtId="0" fontId="0" fillId="17" borderId="2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19" borderId="36" xfId="0" applyFill="1" applyBorder="1" applyProtection="1">
      <protection locked="0"/>
    </xf>
    <xf numFmtId="0" fontId="0" fillId="19" borderId="29" xfId="0" applyFill="1" applyBorder="1" applyProtection="1">
      <protection locked="0"/>
    </xf>
    <xf numFmtId="0" fontId="0" fillId="17" borderId="2" xfId="0" applyFill="1" applyBorder="1" applyProtection="1">
      <protection locked="0"/>
    </xf>
    <xf numFmtId="0" fontId="12" fillId="0" borderId="101" xfId="0" applyFont="1" applyBorder="1" applyAlignment="1">
      <alignment horizontal="left" vertical="center"/>
    </xf>
    <xf numFmtId="0" fontId="12" fillId="0" borderId="98" xfId="0" applyFont="1" applyBorder="1" applyAlignment="1">
      <alignment horizontal="left" vertical="center"/>
    </xf>
    <xf numFmtId="0" fontId="12" fillId="0" borderId="102" xfId="0" applyFont="1" applyBorder="1" applyAlignment="1">
      <alignment horizontal="left" vertical="center"/>
    </xf>
    <xf numFmtId="0" fontId="15" fillId="11" borderId="31" xfId="0" applyFont="1" applyFill="1" applyBorder="1" applyAlignment="1">
      <alignment horizontal="center"/>
    </xf>
    <xf numFmtId="0" fontId="15" fillId="11" borderId="18" xfId="0" applyFont="1" applyFill="1" applyBorder="1" applyAlignment="1">
      <alignment horizontal="center"/>
    </xf>
    <xf numFmtId="0" fontId="15" fillId="11" borderId="13" xfId="0" applyFont="1" applyFill="1" applyBorder="1" applyAlignment="1">
      <alignment horizontal="center"/>
    </xf>
    <xf numFmtId="164" fontId="9" fillId="0" borderId="39" xfId="0" applyNumberFormat="1" applyFont="1" applyBorder="1" applyAlignment="1">
      <alignment horizontal="right"/>
    </xf>
    <xf numFmtId="0" fontId="0" fillId="0" borderId="39" xfId="0" applyBorder="1" applyAlignment="1">
      <alignment horizontal="right"/>
    </xf>
    <xf numFmtId="0" fontId="7" fillId="8" borderId="39" xfId="0" applyFont="1" applyFill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/>
    </xf>
    <xf numFmtId="0" fontId="7" fillId="13" borderId="39" xfId="0" applyFont="1" applyFill="1" applyBorder="1" applyAlignment="1">
      <alignment horizontal="left" vertical="center" wrapText="1"/>
    </xf>
    <xf numFmtId="0" fontId="7" fillId="0" borderId="39" xfId="0" applyFont="1" applyBorder="1" applyAlignment="1">
      <alignment horizontal="center" vertical="center" wrapText="1"/>
    </xf>
    <xf numFmtId="164" fontId="3" fillId="8" borderId="39" xfId="0" applyNumberFormat="1" applyFont="1" applyFill="1" applyBorder="1" applyAlignment="1">
      <alignment horizontal="center" vertical="center" wrapText="1"/>
    </xf>
    <xf numFmtId="0" fontId="3" fillId="8" borderId="39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left" vertical="center" wrapText="1"/>
    </xf>
    <xf numFmtId="0" fontId="7" fillId="14" borderId="5" xfId="0" applyFont="1" applyFill="1" applyBorder="1" applyAlignment="1">
      <alignment horizontal="left" vertical="center" wrapText="1"/>
    </xf>
    <xf numFmtId="0" fontId="7" fillId="14" borderId="3" xfId="0" applyFont="1" applyFill="1" applyBorder="1" applyAlignment="1">
      <alignment horizontal="left" vertical="center" wrapText="1"/>
    </xf>
    <xf numFmtId="0" fontId="7" fillId="14" borderId="28" xfId="0" applyFont="1" applyFill="1" applyBorder="1" applyAlignment="1">
      <alignment horizontal="left" vertical="center" wrapText="1"/>
    </xf>
    <xf numFmtId="0" fontId="7" fillId="0" borderId="39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164" fontId="3" fillId="4" borderId="9" xfId="0" applyNumberFormat="1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 vertical="center" wrapText="1"/>
    </xf>
    <xf numFmtId="164" fontId="3" fillId="4" borderId="19" xfId="0" applyNumberFormat="1" applyFont="1" applyFill="1" applyBorder="1" applyAlignment="1">
      <alignment horizontal="center" vertical="center" wrapText="1"/>
    </xf>
    <xf numFmtId="164" fontId="3" fillId="8" borderId="9" xfId="0" applyNumberFormat="1" applyFont="1" applyFill="1" applyBorder="1" applyAlignment="1">
      <alignment horizontal="center" vertical="center" wrapText="1"/>
    </xf>
    <xf numFmtId="164" fontId="3" fillId="8" borderId="16" xfId="0" applyNumberFormat="1" applyFont="1" applyFill="1" applyBorder="1" applyAlignment="1">
      <alignment horizontal="center" vertical="center" wrapText="1"/>
    </xf>
    <xf numFmtId="164" fontId="3" fillId="8" borderId="19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0" fontId="7" fillId="13" borderId="9" xfId="0" applyFont="1" applyFill="1" applyBorder="1" applyAlignment="1">
      <alignment horizontal="left" vertical="center" wrapText="1"/>
    </xf>
    <xf numFmtId="0" fontId="7" fillId="13" borderId="16" xfId="0" applyFont="1" applyFill="1" applyBorder="1" applyAlignment="1">
      <alignment horizontal="left" vertical="center" wrapText="1"/>
    </xf>
    <xf numFmtId="0" fontId="7" fillId="13" borderId="19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7" fillId="14" borderId="9" xfId="0" applyFont="1" applyFill="1" applyBorder="1" applyAlignment="1">
      <alignment horizontal="left" vertical="center" wrapText="1"/>
    </xf>
    <xf numFmtId="0" fontId="7" fillId="14" borderId="16" xfId="0" applyFont="1" applyFill="1" applyBorder="1" applyAlignment="1">
      <alignment horizontal="left" vertical="center" wrapText="1"/>
    </xf>
    <xf numFmtId="0" fontId="7" fillId="14" borderId="19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8" borderId="9" xfId="0" applyFont="1" applyFill="1" applyBorder="1" applyAlignment="1">
      <alignment horizontal="left" vertical="center" wrapText="1"/>
    </xf>
    <xf numFmtId="0" fontId="7" fillId="8" borderId="16" xfId="0" applyFont="1" applyFill="1" applyBorder="1" applyAlignment="1">
      <alignment horizontal="left" vertical="center" wrapText="1"/>
    </xf>
    <xf numFmtId="0" fontId="7" fillId="8" borderId="19" xfId="0" applyFont="1" applyFill="1" applyBorder="1" applyAlignment="1">
      <alignment horizontal="left" vertical="center" wrapText="1"/>
    </xf>
    <xf numFmtId="0" fontId="7" fillId="14" borderId="39" xfId="0" applyFont="1" applyFill="1" applyBorder="1" applyAlignment="1">
      <alignment horizontal="left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64" fontId="9" fillId="0" borderId="16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164" fontId="3" fillId="4" borderId="39" xfId="0" applyNumberFormat="1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164" fontId="0" fillId="0" borderId="39" xfId="0" applyNumberFormat="1" applyBorder="1" applyAlignment="1">
      <alignment horizontal="right"/>
    </xf>
    <xf numFmtId="0" fontId="7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0" fillId="0" borderId="4" xfId="0" applyBorder="1" applyAlignment="1">
      <alignment horizontal="right"/>
    </xf>
    <xf numFmtId="0" fontId="1" fillId="0" borderId="39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right"/>
    </xf>
    <xf numFmtId="0" fontId="27" fillId="11" borderId="58" xfId="0" applyFont="1" applyFill="1" applyBorder="1" applyAlignment="1">
      <alignment horizontal="center" vertical="center"/>
    </xf>
    <xf numFmtId="0" fontId="27" fillId="11" borderId="59" xfId="0" applyFont="1" applyFill="1" applyBorder="1" applyAlignment="1">
      <alignment horizontal="center" vertical="center"/>
    </xf>
    <xf numFmtId="0" fontId="27" fillId="11" borderId="60" xfId="0" applyFont="1" applyFill="1" applyBorder="1" applyAlignment="1">
      <alignment horizontal="center" vertical="center"/>
    </xf>
    <xf numFmtId="0" fontId="27" fillId="11" borderId="61" xfId="0" applyFont="1" applyFill="1" applyBorder="1" applyAlignment="1">
      <alignment horizontal="center" vertical="center"/>
    </xf>
    <xf numFmtId="0" fontId="27" fillId="11" borderId="62" xfId="0" applyFont="1" applyFill="1" applyBorder="1" applyAlignment="1">
      <alignment horizontal="center" vertical="center"/>
    </xf>
    <xf numFmtId="0" fontId="27" fillId="11" borderId="63" xfId="0" applyFont="1" applyFill="1" applyBorder="1" applyAlignment="1">
      <alignment horizontal="center" vertical="center"/>
    </xf>
    <xf numFmtId="164" fontId="3" fillId="17" borderId="2" xfId="0" applyNumberFormat="1" applyFont="1" applyFill="1" applyBorder="1" applyAlignment="1">
      <alignment horizontal="center" vertical="center" wrapText="1"/>
    </xf>
    <xf numFmtId="164" fontId="3" fillId="17" borderId="29" xfId="0" applyNumberFormat="1" applyFont="1" applyFill="1" applyBorder="1" applyAlignment="1">
      <alignment horizontal="center" vertical="center" wrapText="1"/>
    </xf>
    <xf numFmtId="164" fontId="3" fillId="16" borderId="35" xfId="0" applyNumberFormat="1" applyFont="1" applyFill="1" applyBorder="1" applyAlignment="1">
      <alignment horizontal="center" vertical="center" wrapText="1"/>
    </xf>
    <xf numFmtId="164" fontId="3" fillId="16" borderId="36" xfId="0" applyNumberFormat="1" applyFont="1" applyFill="1" applyBorder="1" applyAlignment="1">
      <alignment horizontal="center" vertical="center" wrapText="1"/>
    </xf>
    <xf numFmtId="0" fontId="3" fillId="17" borderId="10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6" borderId="34" xfId="0" applyFont="1" applyFill="1" applyBorder="1" applyAlignment="1">
      <alignment horizontal="center" vertical="center" wrapText="1"/>
    </xf>
    <xf numFmtId="0" fontId="3" fillId="16" borderId="35" xfId="0" applyFont="1" applyFill="1" applyBorder="1" applyAlignment="1">
      <alignment horizontal="center" vertical="center" wrapText="1"/>
    </xf>
    <xf numFmtId="0" fontId="3" fillId="18" borderId="34" xfId="0" applyFont="1" applyFill="1" applyBorder="1" applyAlignment="1">
      <alignment horizontal="center" vertical="center"/>
    </xf>
    <xf numFmtId="0" fontId="3" fillId="18" borderId="35" xfId="0" applyFont="1" applyFill="1" applyBorder="1" applyAlignment="1">
      <alignment horizontal="center" vertical="center"/>
    </xf>
    <xf numFmtId="0" fontId="3" fillId="18" borderId="36" xfId="0" applyFont="1" applyFill="1" applyBorder="1" applyAlignment="1">
      <alignment horizontal="center" vertical="center"/>
    </xf>
    <xf numFmtId="0" fontId="3" fillId="18" borderId="11" xfId="0" applyFont="1" applyFill="1" applyBorder="1" applyAlignment="1">
      <alignment horizontal="center" vertical="center"/>
    </xf>
    <xf numFmtId="0" fontId="3" fillId="18" borderId="12" xfId="0" applyFont="1" applyFill="1" applyBorder="1" applyAlignment="1">
      <alignment horizontal="center" vertical="center"/>
    </xf>
    <xf numFmtId="0" fontId="3" fillId="18" borderId="30" xfId="0" applyFont="1" applyFill="1" applyBorder="1" applyAlignment="1">
      <alignment horizontal="center" vertical="center"/>
    </xf>
    <xf numFmtId="0" fontId="3" fillId="17" borderId="34" xfId="0" applyFont="1" applyFill="1" applyBorder="1" applyAlignment="1">
      <alignment horizontal="center" vertical="center" wrapText="1"/>
    </xf>
    <xf numFmtId="0" fontId="3" fillId="17" borderId="35" xfId="0" applyFont="1" applyFill="1" applyBorder="1" applyAlignment="1">
      <alignment horizontal="center" vertical="center" wrapText="1"/>
    </xf>
    <xf numFmtId="0" fontId="3" fillId="11" borderId="37" xfId="0" applyFont="1" applyFill="1" applyBorder="1" applyAlignment="1">
      <alignment horizontal="center" vertical="center" wrapText="1"/>
    </xf>
    <xf numFmtId="0" fontId="3" fillId="11" borderId="38" xfId="0" applyFont="1" applyFill="1" applyBorder="1" applyAlignment="1">
      <alignment horizontal="center" vertical="center" wrapText="1"/>
    </xf>
    <xf numFmtId="164" fontId="3" fillId="17" borderId="56" xfId="0" applyNumberFormat="1" applyFont="1" applyFill="1" applyBorder="1" applyAlignment="1">
      <alignment horizontal="center" vertical="center" wrapText="1"/>
    </xf>
    <xf numFmtId="164" fontId="3" fillId="17" borderId="57" xfId="0" applyNumberFormat="1" applyFont="1" applyFill="1" applyBorder="1" applyAlignment="1">
      <alignment horizontal="center" vertical="center" wrapText="1"/>
    </xf>
    <xf numFmtId="164" fontId="3" fillId="11" borderId="12" xfId="0" applyNumberFormat="1" applyFont="1" applyFill="1" applyBorder="1" applyAlignment="1">
      <alignment horizontal="center" vertical="center" wrapText="1"/>
    </xf>
    <xf numFmtId="164" fontId="3" fillId="11" borderId="30" xfId="0" applyNumberFormat="1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6" borderId="26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164" fontId="3" fillId="16" borderId="4" xfId="0" applyNumberFormat="1" applyFont="1" applyFill="1" applyBorder="1" applyAlignment="1">
      <alignment horizontal="center" vertical="center" wrapText="1"/>
    </xf>
    <xf numFmtId="164" fontId="3" fillId="16" borderId="27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94" xfId="0" applyNumberFormat="1" applyFont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164" fontId="3" fillId="4" borderId="35" xfId="0" applyNumberFormat="1" applyFont="1" applyFill="1" applyBorder="1" applyAlignment="1">
      <alignment horizontal="center" vertical="center" wrapText="1"/>
    </xf>
    <xf numFmtId="164" fontId="3" fillId="4" borderId="36" xfId="0" applyNumberFormat="1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164" fontId="3" fillId="12" borderId="12" xfId="0" applyNumberFormat="1" applyFont="1" applyFill="1" applyBorder="1" applyAlignment="1">
      <alignment horizontal="center" vertical="center" wrapText="1"/>
    </xf>
    <xf numFmtId="164" fontId="3" fillId="12" borderId="30" xfId="0" applyNumberFormat="1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164" fontId="9" fillId="0" borderId="43" xfId="0" applyNumberFormat="1" applyFont="1" applyBorder="1" applyAlignment="1">
      <alignment horizontal="right"/>
    </xf>
    <xf numFmtId="164" fontId="9" fillId="0" borderId="88" xfId="0" applyNumberFormat="1" applyFont="1" applyBorder="1" applyAlignment="1">
      <alignment horizontal="right"/>
    </xf>
    <xf numFmtId="164" fontId="0" fillId="0" borderId="44" xfId="0" applyNumberFormat="1" applyBorder="1" applyAlignment="1">
      <alignment horizontal="right"/>
    </xf>
    <xf numFmtId="0" fontId="0" fillId="0" borderId="90" xfId="0" applyBorder="1" applyAlignment="1">
      <alignment horizontal="right"/>
    </xf>
    <xf numFmtId="0" fontId="26" fillId="0" borderId="58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9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94" xfId="0" applyFont="1" applyBorder="1" applyAlignment="1">
      <alignment horizontal="center" vertical="center"/>
    </xf>
    <xf numFmtId="0" fontId="0" fillId="0" borderId="70" xfId="0" applyBorder="1" applyAlignment="1">
      <alignment horizontal="right"/>
    </xf>
    <xf numFmtId="0" fontId="0" fillId="0" borderId="68" xfId="0" applyBorder="1" applyAlignment="1">
      <alignment horizontal="right"/>
    </xf>
    <xf numFmtId="0" fontId="3" fillId="19" borderId="23" xfId="0" applyFont="1" applyFill="1" applyBorder="1" applyAlignment="1">
      <alignment horizontal="center" vertical="center"/>
    </xf>
    <xf numFmtId="0" fontId="3" fillId="19" borderId="24" xfId="0" applyFont="1" applyFill="1" applyBorder="1" applyAlignment="1">
      <alignment horizontal="center" vertical="center"/>
    </xf>
    <xf numFmtId="0" fontId="3" fillId="19" borderId="25" xfId="0" applyFont="1" applyFill="1" applyBorder="1" applyAlignment="1">
      <alignment horizontal="center" vertical="center"/>
    </xf>
    <xf numFmtId="0" fontId="0" fillId="0" borderId="27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71" xfId="0" applyBorder="1" applyAlignment="1">
      <alignment horizontal="right"/>
    </xf>
    <xf numFmtId="0" fontId="0" fillId="0" borderId="72" xfId="0" applyBorder="1" applyAlignment="1">
      <alignment horizontal="right"/>
    </xf>
    <xf numFmtId="0" fontId="3" fillId="0" borderId="3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13" borderId="4" xfId="0" applyFont="1" applyFill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right"/>
    </xf>
    <xf numFmtId="0" fontId="7" fillId="8" borderId="1" xfId="0" applyFont="1" applyFill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30" xfId="0" applyBorder="1" applyAlignment="1">
      <alignment horizontal="right"/>
    </xf>
    <xf numFmtId="0" fontId="9" fillId="0" borderId="0" xfId="0" applyFont="1" applyAlignment="1">
      <alignment horizontal="right"/>
    </xf>
    <xf numFmtId="0" fontId="0" fillId="0" borderId="87" xfId="0" applyBorder="1"/>
    <xf numFmtId="0" fontId="0" fillId="0" borderId="43" xfId="0" applyBorder="1"/>
    <xf numFmtId="0" fontId="15" fillId="19" borderId="31" xfId="0" applyFont="1" applyFill="1" applyBorder="1" applyAlignment="1">
      <alignment horizontal="center"/>
    </xf>
    <xf numFmtId="0" fontId="15" fillId="19" borderId="18" xfId="0" applyFont="1" applyFill="1" applyBorder="1" applyAlignment="1">
      <alignment horizontal="center"/>
    </xf>
    <xf numFmtId="0" fontId="15" fillId="19" borderId="13" xfId="0" applyFont="1" applyFill="1" applyBorder="1" applyAlignment="1">
      <alignment horizontal="center"/>
    </xf>
    <xf numFmtId="0" fontId="19" fillId="0" borderId="58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94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right"/>
    </xf>
    <xf numFmtId="0" fontId="0" fillId="0" borderId="44" xfId="0" applyBorder="1" applyAlignment="1">
      <alignment horizontal="right"/>
    </xf>
    <xf numFmtId="164" fontId="9" fillId="0" borderId="8" xfId="0" applyNumberFormat="1" applyFont="1" applyBorder="1" applyAlignment="1">
      <alignment horizontal="right"/>
    </xf>
    <xf numFmtId="0" fontId="9" fillId="0" borderId="44" xfId="0" applyFont="1" applyBorder="1" applyAlignment="1">
      <alignment horizontal="right"/>
    </xf>
    <xf numFmtId="164" fontId="3" fillId="17" borderId="35" xfId="0" applyNumberFormat="1" applyFont="1" applyFill="1" applyBorder="1" applyAlignment="1">
      <alignment horizontal="center" vertical="center" wrapText="1"/>
    </xf>
    <xf numFmtId="164" fontId="3" fillId="17" borderId="36" xfId="0" applyNumberFormat="1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/>
    </xf>
    <xf numFmtId="0" fontId="3" fillId="17" borderId="18" xfId="0" applyFont="1" applyFill="1" applyBorder="1" applyAlignment="1">
      <alignment horizontal="center" vertical="center"/>
    </xf>
    <xf numFmtId="0" fontId="3" fillId="17" borderId="1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3" fillId="16" borderId="77" xfId="0" applyFont="1" applyFill="1" applyBorder="1" applyAlignment="1">
      <alignment horizontal="center" vertical="center" wrapText="1"/>
    </xf>
    <xf numFmtId="0" fontId="3" fillId="16" borderId="33" xfId="0" applyFont="1" applyFill="1" applyBorder="1" applyAlignment="1">
      <alignment horizontal="center" vertical="center" wrapText="1"/>
    </xf>
    <xf numFmtId="0" fontId="3" fillId="16" borderId="78" xfId="0" applyFont="1" applyFill="1" applyBorder="1" applyAlignment="1">
      <alignment horizontal="center" vertical="center" wrapText="1"/>
    </xf>
    <xf numFmtId="164" fontId="3" fillId="16" borderId="7" xfId="0" applyNumberFormat="1" applyFont="1" applyFill="1" applyBorder="1" applyAlignment="1">
      <alignment horizontal="center" vertical="center" wrapText="1"/>
    </xf>
    <xf numFmtId="164" fontId="3" fillId="16" borderId="33" xfId="0" applyNumberFormat="1" applyFont="1" applyFill="1" applyBorder="1" applyAlignment="1">
      <alignment horizontal="center" vertical="center" wrapText="1"/>
    </xf>
    <xf numFmtId="164" fontId="3" fillId="16" borderId="32" xfId="0" applyNumberFormat="1" applyFont="1" applyFill="1" applyBorder="1" applyAlignment="1">
      <alignment horizontal="center" vertical="center" wrapText="1"/>
    </xf>
    <xf numFmtId="0" fontId="9" fillId="0" borderId="80" xfId="0" applyFont="1" applyBorder="1" applyAlignment="1">
      <alignment horizontal="right"/>
    </xf>
    <xf numFmtId="0" fontId="9" fillId="0" borderId="81" xfId="0" applyFont="1" applyBorder="1" applyAlignment="1">
      <alignment horizontal="right"/>
    </xf>
    <xf numFmtId="164" fontId="0" fillId="0" borderId="55" xfId="0" applyNumberFormat="1" applyBorder="1" applyAlignment="1">
      <alignment horizontal="right"/>
    </xf>
    <xf numFmtId="0" fontId="1" fillId="0" borderId="93" xfId="0" applyFont="1" applyBorder="1" applyAlignment="1">
      <alignment horizontal="left" wrapText="1"/>
    </xf>
    <xf numFmtId="164" fontId="9" fillId="0" borderId="28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0" fontId="3" fillId="16" borderId="23" xfId="0" applyFont="1" applyFill="1" applyBorder="1" applyAlignment="1">
      <alignment horizontal="center" vertical="center"/>
    </xf>
    <xf numFmtId="0" fontId="3" fillId="16" borderId="24" xfId="0" applyFont="1" applyFill="1" applyBorder="1" applyAlignment="1">
      <alignment horizontal="center" vertical="center"/>
    </xf>
    <xf numFmtId="0" fontId="3" fillId="16" borderId="25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40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lor rgb="FFFF0000"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FFFFCC"/>
      <color rgb="FFFFAFAF"/>
      <color rgb="FFFFA3A3"/>
      <color rgb="FFEE7EA1"/>
      <color rgb="FFF3DBAF"/>
      <color rgb="FFFF2D2D"/>
      <color rgb="FFE60000"/>
      <color rgb="FF33CC33"/>
      <color rgb="FFFFFF00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27</xdr:row>
      <xdr:rowOff>137583</xdr:rowOff>
    </xdr:from>
    <xdr:to>
      <xdr:col>0</xdr:col>
      <xdr:colOff>1729317</xdr:colOff>
      <xdr:row>30</xdr:row>
      <xdr:rowOff>80433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714500" y="6773333"/>
          <a:ext cx="14817" cy="514350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3618938</xdr:colOff>
      <xdr:row>0</xdr:row>
      <xdr:rowOff>169545</xdr:rowOff>
    </xdr:from>
    <xdr:to>
      <xdr:col>0</xdr:col>
      <xdr:colOff>6894195</xdr:colOff>
      <xdr:row>3</xdr:row>
      <xdr:rowOff>123810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8938" y="169545"/>
          <a:ext cx="3275257" cy="497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843915</xdr:colOff>
      <xdr:row>3</xdr:row>
      <xdr:rowOff>154305</xdr:rowOff>
    </xdr:from>
    <xdr:to>
      <xdr:col>8</xdr:col>
      <xdr:colOff>473002</xdr:colOff>
      <xdr:row>5</xdr:row>
      <xdr:rowOff>3795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4240" y="763905"/>
          <a:ext cx="3277162" cy="487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</xdr:colOff>
      <xdr:row>0</xdr:row>
      <xdr:rowOff>55245</xdr:rowOff>
    </xdr:from>
    <xdr:to>
      <xdr:col>1</xdr:col>
      <xdr:colOff>0</xdr:colOff>
      <xdr:row>1</xdr:row>
      <xdr:rowOff>59798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" y="55245"/>
          <a:ext cx="2049780" cy="303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7621</xdr:colOff>
      <xdr:row>0</xdr:row>
      <xdr:rowOff>40005</xdr:rowOff>
    </xdr:from>
    <xdr:to>
      <xdr:col>0</xdr:col>
      <xdr:colOff>1998346</xdr:colOff>
      <xdr:row>1</xdr:row>
      <xdr:rowOff>57893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1" y="40005"/>
          <a:ext cx="2045970" cy="303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30480</xdr:rowOff>
    </xdr:from>
    <xdr:to>
      <xdr:col>1</xdr:col>
      <xdr:colOff>0</xdr:colOff>
      <xdr:row>1</xdr:row>
      <xdr:rowOff>21698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480"/>
          <a:ext cx="2047875" cy="303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43815</xdr:rowOff>
    </xdr:from>
    <xdr:to>
      <xdr:col>1</xdr:col>
      <xdr:colOff>0</xdr:colOff>
      <xdr:row>1</xdr:row>
      <xdr:rowOff>57893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43815"/>
          <a:ext cx="2049780" cy="305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1905</xdr:colOff>
      <xdr:row>1</xdr:row>
      <xdr:rowOff>55988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2049780" cy="307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yndicat-cotesdeprovence.com/medias/2022/01/CDC-Cotes-de-Provence-homologue-par-arrete-du-22-decembre-202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AF71A-C91F-4A02-A2AA-3E4E01E6E485}">
  <dimension ref="A1:Q42"/>
  <sheetViews>
    <sheetView view="pageLayout" zoomScaleNormal="90" workbookViewId="0">
      <selection activeCell="A32" sqref="A32"/>
    </sheetView>
  </sheetViews>
  <sheetFormatPr baseColWidth="10" defaultRowHeight="15" x14ac:dyDescent="0.25"/>
  <cols>
    <col min="1" max="1" width="155.7109375" customWidth="1"/>
    <col min="2" max="2" width="0" hidden="1" customWidth="1"/>
  </cols>
  <sheetData>
    <row r="1" spans="1:17" x14ac:dyDescent="0.25">
      <c r="A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7" x14ac:dyDescent="0.25">
      <c r="A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7" x14ac:dyDescent="0.25"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7" x14ac:dyDescent="0.25">
      <c r="A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7" ht="15.75" thickBot="1" x14ac:dyDescent="0.3"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7" ht="23.25" x14ac:dyDescent="0.25">
      <c r="A6" s="283" t="s">
        <v>216</v>
      </c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7" x14ac:dyDescent="0.25">
      <c r="A7" s="284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7" ht="56.25" x14ac:dyDescent="0.25">
      <c r="A8" s="285" t="s">
        <v>220</v>
      </c>
      <c r="B8" s="150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0"/>
      <c r="N8" s="150"/>
      <c r="O8" s="150"/>
      <c r="P8" s="150"/>
      <c r="Q8" s="150"/>
    </row>
    <row r="9" spans="1:17" ht="37.5" x14ac:dyDescent="0.25">
      <c r="A9" s="285" t="s">
        <v>221</v>
      </c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0"/>
      <c r="N9" s="150"/>
      <c r="O9" s="150"/>
      <c r="P9" s="150"/>
      <c r="Q9" s="150"/>
    </row>
    <row r="10" spans="1:17" ht="15.75" thickBot="1" x14ac:dyDescent="0.3">
      <c r="A10" s="286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0"/>
      <c r="N10" s="150"/>
      <c r="O10" s="150"/>
      <c r="P10" s="150"/>
      <c r="Q10" s="150"/>
    </row>
    <row r="11" spans="1:17" ht="19.5" thickBot="1" x14ac:dyDescent="0.3">
      <c r="A11" s="287" t="s">
        <v>217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7" ht="19.5" thickBot="1" x14ac:dyDescent="0.3">
      <c r="A12" s="288" t="s">
        <v>218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7" ht="18.75" x14ac:dyDescent="0.25">
      <c r="A13" s="288" t="s">
        <v>240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</row>
    <row r="14" spans="1:17" ht="18.75" x14ac:dyDescent="0.25">
      <c r="A14" s="289" t="s">
        <v>219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17" x14ac:dyDescent="0.25">
      <c r="A15" s="290"/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pans="1:17" ht="18.75" x14ac:dyDescent="0.25">
      <c r="A16" s="291" t="s">
        <v>222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1:12" ht="19.5" thickBot="1" x14ac:dyDescent="0.3">
      <c r="A17" s="292" t="s">
        <v>212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x14ac:dyDescent="0.25">
      <c r="A18" s="293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2" x14ac:dyDescent="0.25">
      <c r="A19" s="286"/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2" ht="31.5" x14ac:dyDescent="0.25">
      <c r="A20" s="294" t="s">
        <v>237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1:12" ht="15.75" x14ac:dyDescent="0.25">
      <c r="A21" s="295" t="s">
        <v>238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12" x14ac:dyDescent="0.25">
      <c r="A22" s="296" t="s">
        <v>224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2" x14ac:dyDescent="0.25">
      <c r="A23" s="297" t="s">
        <v>223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12" x14ac:dyDescent="0.25">
      <c r="A24" s="28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2" x14ac:dyDescent="0.25">
      <c r="A25" s="318" t="s">
        <v>239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spans="1:12" x14ac:dyDescent="0.25">
      <c r="A26" s="319"/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1:12" ht="15.75" thickBot="1" x14ac:dyDescent="0.3">
      <c r="A27" s="320"/>
      <c r="C27" s="63"/>
      <c r="D27" s="56"/>
      <c r="E27" s="56"/>
      <c r="F27" s="56"/>
      <c r="G27" s="56"/>
      <c r="H27" s="56"/>
      <c r="I27" s="56"/>
      <c r="J27" s="56"/>
      <c r="K27" s="56"/>
      <c r="L27" s="56"/>
    </row>
    <row r="28" spans="1:12" x14ac:dyDescent="0.25">
      <c r="A28" s="156"/>
      <c r="C28" s="63"/>
      <c r="D28" s="56"/>
      <c r="E28" s="56"/>
      <c r="F28" s="56"/>
      <c r="G28" s="56"/>
      <c r="H28" s="56"/>
      <c r="I28" s="56"/>
      <c r="J28" s="56"/>
      <c r="K28" s="56"/>
      <c r="L28" s="56"/>
    </row>
    <row r="29" spans="1:12" x14ac:dyDescent="0.25">
      <c r="A29" s="155"/>
      <c r="C29" s="127"/>
      <c r="D29" s="56"/>
      <c r="E29" s="56"/>
      <c r="F29" s="56"/>
      <c r="G29" s="56"/>
      <c r="H29" s="56"/>
      <c r="I29" s="56"/>
      <c r="J29" s="56"/>
      <c r="K29" s="56"/>
      <c r="L29" s="56"/>
    </row>
    <row r="30" spans="1:12" x14ac:dyDescent="0.25">
      <c r="A30" s="155"/>
      <c r="C30" s="114"/>
      <c r="D30" s="56"/>
      <c r="E30" s="56"/>
      <c r="F30" s="56"/>
      <c r="G30" s="56"/>
      <c r="H30" s="56"/>
      <c r="I30" s="56"/>
      <c r="J30" s="56"/>
      <c r="K30" s="56"/>
      <c r="L30" s="56"/>
    </row>
    <row r="31" spans="1:12" x14ac:dyDescent="0.25">
      <c r="A31" s="155"/>
      <c r="C31" s="63"/>
      <c r="D31" s="56"/>
      <c r="E31" s="56"/>
      <c r="F31" s="56"/>
      <c r="G31" s="56"/>
      <c r="H31" s="56"/>
      <c r="I31" s="56"/>
      <c r="J31" s="56"/>
      <c r="K31" s="56"/>
      <c r="L31" s="56"/>
    </row>
    <row r="32" spans="1:12" x14ac:dyDescent="0.25">
      <c r="A32" s="154"/>
      <c r="C32" s="118"/>
      <c r="D32" s="56"/>
      <c r="E32" s="56"/>
      <c r="F32" s="56"/>
      <c r="G32" s="56"/>
      <c r="H32" s="56"/>
      <c r="I32" s="56"/>
      <c r="J32" s="56"/>
      <c r="K32" s="56"/>
      <c r="L32" s="56"/>
    </row>
    <row r="33" spans="1:12" x14ac:dyDescent="0.25">
      <c r="A33" s="159"/>
      <c r="C33" s="114"/>
      <c r="D33" s="107"/>
      <c r="E33" s="56"/>
      <c r="F33" s="56"/>
      <c r="G33" s="56"/>
      <c r="H33" s="56"/>
      <c r="I33" s="56"/>
      <c r="J33" s="56"/>
      <c r="K33" s="56"/>
      <c r="L33" s="56"/>
    </row>
    <row r="34" spans="1:12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</row>
    <row r="35" spans="1:12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</row>
    <row r="36" spans="1:12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</row>
    <row r="39" spans="1:12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</row>
    <row r="40" spans="1:12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</row>
    <row r="41" spans="1:12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</row>
    <row r="42" spans="1:12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</row>
  </sheetData>
  <sheetProtection algorithmName="SHA-512" hashValue="4T7esbgPJ9C6zhau7ajOWIb3ufBmAa1FkKXXN3odgQUwBPxyQuPck0rVROUlG2qrsN2tluNvHg+q6sb1bv5MYg==" saltValue="NcEVU9m7XRNqTEJ1WnDXGg==" spinCount="100000" sheet="1" objects="1" scenarios="1"/>
  <mergeCells count="1">
    <mergeCell ref="A25:A27"/>
  </mergeCells>
  <hyperlinks>
    <hyperlink ref="A16" r:id="rId1" display="https://syndicat-cotesdeprovence.com/medias/2022/01/CDC-Cotes-de-Provence-homologue-par-arrete-du-22-decembre-2021.pdf" xr:uid="{4D487158-CE3E-4480-94F9-03D0262914AE}"/>
  </hyperlinks>
  <pageMargins left="0.7" right="0.7" top="0.75" bottom="0.75" header="0.3" footer="0.3"/>
  <pageSetup paperSize="9" orientation="portrait" r:id="rId2"/>
  <headerFooter>
    <oddHeader>&amp;RRéférence : FT-22
Révision : V1
Date : 19/04/2023</oddHeader>
  </headerFooter>
  <colBreaks count="1" manualBreakCount="1">
    <brk id="2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tabColor rgb="FFFFAFAF"/>
    <pageSetUpPr fitToPage="1"/>
  </sheetPr>
  <dimension ref="A1:FA525"/>
  <sheetViews>
    <sheetView tabSelected="1" zoomScale="70" zoomScaleNormal="70" workbookViewId="0">
      <selection activeCell="I42" sqref="I42"/>
    </sheetView>
  </sheetViews>
  <sheetFormatPr baseColWidth="10" defaultRowHeight="15" x14ac:dyDescent="0.25"/>
  <cols>
    <col min="1" max="1" width="47" bestFit="1" customWidth="1"/>
    <col min="2" max="2" width="15" customWidth="1"/>
    <col min="3" max="3" width="14" customWidth="1"/>
    <col min="4" max="4" width="17.42578125" bestFit="1" customWidth="1"/>
    <col min="5" max="5" width="17.85546875" bestFit="1" customWidth="1"/>
    <col min="6" max="6" width="14.5703125" bestFit="1" customWidth="1"/>
    <col min="7" max="7" width="10" customWidth="1"/>
    <col min="8" max="8" width="10.85546875" customWidth="1"/>
    <col min="9" max="11" width="12.7109375" customWidth="1"/>
    <col min="12" max="26" width="12.7109375" hidden="1" customWidth="1"/>
    <col min="27" max="27" width="64.42578125" hidden="1" customWidth="1"/>
    <col min="28" max="28" width="9.5703125" style="2" hidden="1" customWidth="1"/>
    <col min="29" max="29" width="7.7109375" style="2" hidden="1" customWidth="1"/>
    <col min="30" max="30" width="9.85546875" hidden="1" customWidth="1"/>
    <col min="31" max="31" width="25.28515625" hidden="1" customWidth="1"/>
    <col min="32" max="32" width="15" hidden="1" customWidth="1"/>
    <col min="33" max="33" width="14" hidden="1" customWidth="1"/>
    <col min="34" max="34" width="14.140625" hidden="1" customWidth="1"/>
    <col min="35" max="35" width="15.7109375" hidden="1" customWidth="1"/>
    <col min="36" max="36" width="15.28515625" hidden="1" customWidth="1"/>
    <col min="37" max="37" width="10" hidden="1" customWidth="1"/>
    <col min="38" max="38" width="5" hidden="1" customWidth="1"/>
    <col min="39" max="39" width="11.42578125" hidden="1" customWidth="1"/>
    <col min="40" max="40" width="64.42578125" hidden="1" customWidth="1"/>
    <col min="41" max="41" width="7.7109375" style="2" hidden="1" customWidth="1"/>
    <col min="42" max="42" width="6.85546875" hidden="1" customWidth="1"/>
    <col min="43" max="43" width="30.140625" hidden="1" customWidth="1"/>
    <col min="44" max="44" width="15" hidden="1" customWidth="1"/>
    <col min="45" max="45" width="14" hidden="1" customWidth="1"/>
    <col min="46" max="46" width="19" hidden="1" customWidth="1"/>
    <col min="47" max="47" width="15.7109375" hidden="1" customWidth="1"/>
    <col min="48" max="48" width="15.28515625" hidden="1" customWidth="1"/>
    <col min="49" max="49" width="10" hidden="1" customWidth="1"/>
    <col min="50" max="51" width="5" hidden="1" customWidth="1"/>
    <col min="52" max="52" width="58" hidden="1" customWidth="1"/>
    <col min="53" max="53" width="5.140625" hidden="1" customWidth="1"/>
    <col min="54" max="54" width="10.28515625" style="2" hidden="1" customWidth="1"/>
    <col min="55" max="55" width="10.85546875" hidden="1" customWidth="1"/>
    <col min="56" max="56" width="30.140625" hidden="1" customWidth="1"/>
    <col min="57" max="57" width="15" hidden="1" customWidth="1"/>
    <col min="58" max="58" width="14" hidden="1" customWidth="1"/>
    <col min="59" max="59" width="17" hidden="1" customWidth="1"/>
    <col min="60" max="60" width="15.7109375" hidden="1" customWidth="1"/>
    <col min="61" max="61" width="19.7109375" hidden="1" customWidth="1"/>
    <col min="62" max="62" width="10" hidden="1" customWidth="1"/>
    <col min="63" max="63" width="5" hidden="1" customWidth="1"/>
    <col min="64" max="64" width="8.5703125" hidden="1" customWidth="1"/>
    <col min="65" max="65" width="58" hidden="1" customWidth="1"/>
    <col min="66" max="66" width="5.140625" hidden="1" customWidth="1"/>
    <col min="67" max="67" width="8.5703125" style="2" hidden="1" customWidth="1"/>
    <col min="68" max="68" width="7.42578125" hidden="1" customWidth="1"/>
    <col min="69" max="69" width="30.140625" hidden="1" customWidth="1"/>
    <col min="70" max="70" width="15" hidden="1" customWidth="1"/>
    <col min="71" max="71" width="14" hidden="1" customWidth="1"/>
    <col min="72" max="72" width="17" hidden="1" customWidth="1"/>
    <col min="73" max="73" width="15.7109375" hidden="1" customWidth="1"/>
    <col min="74" max="74" width="18.140625" hidden="1" customWidth="1"/>
    <col min="75" max="75" width="10" hidden="1" customWidth="1"/>
    <col min="76" max="76" width="5" hidden="1" customWidth="1"/>
    <col min="77" max="77" width="4.5703125" hidden="1" customWidth="1"/>
    <col min="78" max="78" width="71.7109375" hidden="1" customWidth="1"/>
    <col min="79" max="79" width="5.140625" hidden="1" customWidth="1"/>
    <col min="80" max="80" width="7.7109375" style="2" hidden="1" customWidth="1"/>
    <col min="81" max="81" width="11.28515625" hidden="1" customWidth="1"/>
    <col min="82" max="82" width="11" hidden="1" customWidth="1"/>
    <col min="83" max="83" width="11.85546875" hidden="1" customWidth="1"/>
    <col min="84" max="84" width="10.42578125" hidden="1" customWidth="1"/>
    <col min="85" max="85" width="7.140625" hidden="1" customWidth="1"/>
    <col min="86" max="86" width="8" hidden="1" customWidth="1"/>
    <col min="87" max="87" width="9.7109375" hidden="1" customWidth="1"/>
    <col min="88" max="88" width="10.85546875" hidden="1" customWidth="1"/>
    <col min="89" max="89" width="8.85546875" hidden="1" customWidth="1"/>
    <col min="90" max="90" width="8.28515625" hidden="1" customWidth="1"/>
    <col min="91" max="91" width="10.7109375" hidden="1" customWidth="1"/>
    <col min="92" max="92" width="6.28515625" hidden="1" customWidth="1"/>
    <col min="93" max="93" width="9.140625" hidden="1" customWidth="1"/>
    <col min="94" max="94" width="9.5703125" hidden="1" customWidth="1"/>
    <col min="95" max="95" width="11.28515625" hidden="1" customWidth="1"/>
    <col min="96" max="96" width="13" hidden="1" customWidth="1"/>
    <col min="97" max="97" width="9.85546875" hidden="1" customWidth="1"/>
    <col min="98" max="98" width="30.140625" hidden="1" customWidth="1"/>
    <col min="99" max="99" width="15" hidden="1" customWidth="1"/>
    <col min="100" max="100" width="14" hidden="1" customWidth="1"/>
    <col min="101" max="101" width="17" hidden="1" customWidth="1"/>
    <col min="102" max="102" width="15.7109375" hidden="1" customWidth="1"/>
    <col min="103" max="103" width="19.7109375" hidden="1" customWidth="1"/>
    <col min="104" max="104" width="10" hidden="1" customWidth="1"/>
    <col min="105" max="105" width="5" hidden="1" customWidth="1"/>
    <col min="106" max="106" width="4.5703125" hidden="1" customWidth="1"/>
    <col min="107" max="107" width="34.85546875" hidden="1" customWidth="1"/>
    <col min="108" max="108" width="5.140625" hidden="1" customWidth="1"/>
    <col min="109" max="109" width="8.5703125" style="2" hidden="1" customWidth="1"/>
    <col min="110" max="110" width="6.28515625" hidden="1" customWidth="1"/>
    <col min="111" max="111" width="30.140625" hidden="1" customWidth="1"/>
    <col min="112" max="112" width="15" hidden="1" customWidth="1"/>
    <col min="113" max="113" width="14" hidden="1" customWidth="1"/>
    <col min="114" max="114" width="17" hidden="1" customWidth="1"/>
    <col min="115" max="115" width="15.7109375" hidden="1" customWidth="1"/>
    <col min="116" max="116" width="18.140625" hidden="1" customWidth="1"/>
    <col min="117" max="117" width="10" hidden="1" customWidth="1"/>
    <col min="118" max="118" width="5" hidden="1" customWidth="1"/>
    <col min="119" max="119" width="4.5703125" hidden="1" customWidth="1"/>
    <col min="120" max="120" width="58" hidden="1" customWidth="1"/>
    <col min="121" max="121" width="5.140625" hidden="1" customWidth="1"/>
    <col min="122" max="122" width="7.7109375" style="2" hidden="1" customWidth="1"/>
    <col min="123" max="138" width="11.42578125" hidden="1" customWidth="1"/>
    <col min="139" max="150" width="11.42578125" customWidth="1"/>
  </cols>
  <sheetData>
    <row r="1" spans="1:157" ht="15.75" customHeight="1" x14ac:dyDescent="0.25">
      <c r="A1" s="56"/>
      <c r="B1" s="56"/>
      <c r="C1" s="56"/>
      <c r="D1" s="56"/>
      <c r="E1" s="56"/>
      <c r="F1" s="56"/>
      <c r="G1" s="56"/>
      <c r="H1" s="56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6"/>
      <c r="AB1" s="65"/>
      <c r="AC1" s="65"/>
      <c r="AD1" s="56"/>
      <c r="AE1" s="327" t="s">
        <v>199</v>
      </c>
      <c r="AF1" s="327"/>
      <c r="AG1" s="327"/>
      <c r="AH1" s="327"/>
      <c r="AI1" s="327"/>
      <c r="AJ1" s="327"/>
      <c r="AK1" s="327"/>
      <c r="AL1" s="327"/>
      <c r="AM1" s="56"/>
      <c r="AN1" s="56"/>
      <c r="AO1" s="65"/>
      <c r="AP1" s="56"/>
      <c r="AQ1" s="327" t="s">
        <v>199</v>
      </c>
      <c r="AR1" s="327"/>
      <c r="AS1" s="327"/>
      <c r="AT1" s="327"/>
      <c r="AU1" s="327"/>
      <c r="AV1" s="327"/>
      <c r="AW1" s="327"/>
      <c r="AX1" s="327"/>
      <c r="AY1" s="57"/>
      <c r="AZ1" s="56"/>
      <c r="BA1" s="56"/>
      <c r="BB1" s="65"/>
      <c r="BC1" s="56"/>
      <c r="BD1" s="327" t="s">
        <v>199</v>
      </c>
      <c r="BE1" s="327"/>
      <c r="BF1" s="327"/>
      <c r="BG1" s="327"/>
      <c r="BH1" s="327"/>
      <c r="BI1" s="327"/>
      <c r="BJ1" s="327"/>
      <c r="BK1" s="327"/>
      <c r="BL1" s="57"/>
      <c r="BM1" s="56"/>
      <c r="BN1" s="56"/>
      <c r="BO1" s="65"/>
      <c r="BP1" s="56"/>
      <c r="BQ1" s="327" t="s">
        <v>199</v>
      </c>
      <c r="BR1" s="327"/>
      <c r="BS1" s="327"/>
      <c r="BT1" s="327"/>
      <c r="BU1" s="327"/>
      <c r="BV1" s="327"/>
      <c r="BW1" s="327"/>
      <c r="BX1" s="327"/>
      <c r="BY1" s="57"/>
      <c r="BZ1" s="56"/>
      <c r="CA1" s="56"/>
      <c r="CB1" s="65"/>
      <c r="CC1" s="66" t="s">
        <v>2</v>
      </c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327" t="s">
        <v>199</v>
      </c>
      <c r="CU1" s="327"/>
      <c r="CV1" s="327"/>
      <c r="CW1" s="327"/>
      <c r="CX1" s="327"/>
      <c r="CY1" s="327"/>
      <c r="CZ1" s="327"/>
      <c r="DA1" s="327"/>
      <c r="DB1" s="57"/>
      <c r="DC1" s="56"/>
      <c r="DD1" s="56"/>
      <c r="DE1" s="65"/>
      <c r="DF1" s="56"/>
      <c r="DG1" s="327" t="s">
        <v>199</v>
      </c>
      <c r="DH1" s="327"/>
      <c r="DI1" s="327"/>
      <c r="DJ1" s="327"/>
      <c r="DK1" s="327"/>
      <c r="DL1" s="327"/>
      <c r="DM1" s="327"/>
      <c r="DN1" s="327"/>
      <c r="DO1" s="57"/>
      <c r="DP1" s="56"/>
      <c r="DQ1" s="56"/>
      <c r="DR1" s="65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V1" s="56"/>
      <c r="EW1" s="56"/>
      <c r="EY1" s="56"/>
    </row>
    <row r="2" spans="1:157" ht="15.75" customHeight="1" x14ac:dyDescent="0.25">
      <c r="A2" s="56"/>
      <c r="B2" s="56"/>
      <c r="C2" s="56"/>
      <c r="D2" s="56"/>
      <c r="E2" s="56"/>
      <c r="F2" s="56"/>
      <c r="G2" s="56"/>
      <c r="H2" s="56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6"/>
      <c r="AB2" s="65"/>
      <c r="AC2" s="65"/>
      <c r="AD2" s="56"/>
      <c r="AE2" s="327"/>
      <c r="AF2" s="327"/>
      <c r="AG2" s="327"/>
      <c r="AH2" s="327"/>
      <c r="AI2" s="327"/>
      <c r="AJ2" s="327"/>
      <c r="AK2" s="327"/>
      <c r="AL2" s="327"/>
      <c r="AM2" s="56"/>
      <c r="AN2" s="56"/>
      <c r="AO2" s="65"/>
      <c r="AP2" s="56"/>
      <c r="AQ2" s="327"/>
      <c r="AR2" s="327"/>
      <c r="AS2" s="327"/>
      <c r="AT2" s="327"/>
      <c r="AU2" s="327"/>
      <c r="AV2" s="327"/>
      <c r="AW2" s="327"/>
      <c r="AX2" s="327"/>
      <c r="AY2" s="57"/>
      <c r="AZ2" s="56"/>
      <c r="BA2" s="56"/>
      <c r="BB2" s="65"/>
      <c r="BC2" s="56"/>
      <c r="BD2" s="327"/>
      <c r="BE2" s="327"/>
      <c r="BF2" s="327"/>
      <c r="BG2" s="327"/>
      <c r="BH2" s="327"/>
      <c r="BI2" s="327"/>
      <c r="BJ2" s="327"/>
      <c r="BK2" s="327"/>
      <c r="BL2" s="57"/>
      <c r="BM2" s="56"/>
      <c r="BN2" s="56"/>
      <c r="BO2" s="65"/>
      <c r="BP2" s="56"/>
      <c r="BQ2" s="327"/>
      <c r="BR2" s="327"/>
      <c r="BS2" s="327"/>
      <c r="BT2" s="327"/>
      <c r="BU2" s="327"/>
      <c r="BV2" s="327"/>
      <c r="BW2" s="327"/>
      <c r="BX2" s="327"/>
      <c r="BY2" s="57"/>
      <c r="BZ2" s="56"/>
      <c r="CA2" s="56"/>
      <c r="CB2" s="65"/>
      <c r="CC2" s="6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327"/>
      <c r="CU2" s="327"/>
      <c r="CV2" s="327"/>
      <c r="CW2" s="327"/>
      <c r="CX2" s="327"/>
      <c r="CY2" s="327"/>
      <c r="CZ2" s="327"/>
      <c r="DA2" s="327"/>
      <c r="DB2" s="57"/>
      <c r="DC2" s="56"/>
      <c r="DD2" s="56"/>
      <c r="DE2" s="65"/>
      <c r="DF2" s="56"/>
      <c r="DG2" s="327"/>
      <c r="DH2" s="327"/>
      <c r="DI2" s="327"/>
      <c r="DJ2" s="327"/>
      <c r="DK2" s="327"/>
      <c r="DL2" s="327"/>
      <c r="DM2" s="327"/>
      <c r="DN2" s="327"/>
      <c r="DO2" s="57"/>
      <c r="DP2" s="56"/>
      <c r="DQ2" s="56"/>
      <c r="DR2" s="65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V2" s="56"/>
      <c r="EW2" s="56"/>
      <c r="EY2" s="56"/>
    </row>
    <row r="3" spans="1:157" ht="16.5" thickBot="1" x14ac:dyDescent="0.3">
      <c r="A3" s="107"/>
      <c r="B3" s="107"/>
      <c r="C3" s="56"/>
      <c r="D3" s="107"/>
      <c r="E3" s="107"/>
      <c r="F3" s="107"/>
      <c r="G3" s="107"/>
      <c r="H3" s="107"/>
      <c r="I3" s="183"/>
      <c r="J3" s="183"/>
      <c r="K3" s="183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6"/>
      <c r="AB3" s="65"/>
      <c r="AC3" s="65"/>
      <c r="AD3" s="56"/>
      <c r="AE3" s="327" t="s">
        <v>3</v>
      </c>
      <c r="AF3" s="327"/>
      <c r="AG3" s="327"/>
      <c r="AH3" s="327"/>
      <c r="AI3" s="327"/>
      <c r="AJ3" s="327"/>
      <c r="AK3" s="327"/>
      <c r="AL3" s="327"/>
      <c r="AM3" s="56"/>
      <c r="AN3" s="56"/>
      <c r="AO3" s="65"/>
      <c r="AP3" s="56"/>
      <c r="AQ3" s="327" t="s">
        <v>4</v>
      </c>
      <c r="AR3" s="327"/>
      <c r="AS3" s="327"/>
      <c r="AT3" s="327"/>
      <c r="AU3" s="327"/>
      <c r="AV3" s="327"/>
      <c r="AW3" s="327"/>
      <c r="AX3" s="327"/>
      <c r="AY3" s="57"/>
      <c r="AZ3" s="56"/>
      <c r="BA3" s="56"/>
      <c r="BB3" s="65"/>
      <c r="BC3" s="56"/>
      <c r="BD3" s="327" t="s">
        <v>5</v>
      </c>
      <c r="BE3" s="327"/>
      <c r="BF3" s="327"/>
      <c r="BG3" s="327"/>
      <c r="BH3" s="327"/>
      <c r="BI3" s="327"/>
      <c r="BJ3" s="327"/>
      <c r="BK3" s="327"/>
      <c r="BL3" s="56"/>
      <c r="BM3" s="56"/>
      <c r="BN3" s="56"/>
      <c r="BO3" s="65"/>
      <c r="BP3" s="56"/>
      <c r="BQ3" s="327" t="s">
        <v>6</v>
      </c>
      <c r="BR3" s="327"/>
      <c r="BS3" s="327"/>
      <c r="BT3" s="327"/>
      <c r="BU3" s="327"/>
      <c r="BV3" s="327"/>
      <c r="BW3" s="327"/>
      <c r="BX3" s="327"/>
      <c r="BY3" s="56"/>
      <c r="BZ3" s="56"/>
      <c r="CA3" s="56"/>
      <c r="CB3" s="65"/>
      <c r="CC3" s="6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67"/>
      <c r="CS3" s="56"/>
      <c r="CT3" s="327" t="s">
        <v>7</v>
      </c>
      <c r="CU3" s="327"/>
      <c r="CV3" s="327"/>
      <c r="CW3" s="327"/>
      <c r="CX3" s="327"/>
      <c r="CY3" s="327"/>
      <c r="CZ3" s="327"/>
      <c r="DA3" s="327"/>
      <c r="DB3" s="56"/>
      <c r="DC3" s="56"/>
      <c r="DD3" s="56"/>
      <c r="DE3" s="65"/>
      <c r="DF3" s="56"/>
      <c r="DG3" s="327" t="s">
        <v>151</v>
      </c>
      <c r="DH3" s="327"/>
      <c r="DI3" s="327"/>
      <c r="DJ3" s="327"/>
      <c r="DK3" s="327"/>
      <c r="DL3" s="327"/>
      <c r="DM3" s="327"/>
      <c r="DN3" s="327"/>
      <c r="DO3" s="56"/>
      <c r="DP3" s="56"/>
      <c r="DQ3" s="56"/>
      <c r="DR3" s="65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103"/>
      <c r="ER3" s="56"/>
      <c r="ES3" s="56"/>
      <c r="ET3" s="56"/>
      <c r="EU3" s="63"/>
      <c r="EV3" s="56"/>
      <c r="EW3" s="56"/>
      <c r="EX3" s="103"/>
      <c r="EY3" s="56"/>
      <c r="EZ3" s="56"/>
      <c r="FA3" s="56"/>
    </row>
    <row r="4" spans="1:157" s="4" customFormat="1" ht="35.25" customHeight="1" x14ac:dyDescent="0.25">
      <c r="A4" s="135" t="s">
        <v>208</v>
      </c>
      <c r="B4" s="136" t="s">
        <v>210</v>
      </c>
      <c r="C4" s="247"/>
      <c r="D4" s="251"/>
      <c r="E4" s="252"/>
      <c r="F4" s="252"/>
      <c r="G4" s="252"/>
      <c r="H4" s="252"/>
      <c r="I4" s="253"/>
      <c r="J4" s="253"/>
      <c r="K4" s="254"/>
      <c r="L4" s="250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2" t="s">
        <v>30</v>
      </c>
      <c r="AB4" s="163">
        <f>R6*30/70</f>
        <v>0</v>
      </c>
      <c r="AC4" s="164"/>
      <c r="AD4" s="160"/>
      <c r="AE4" s="165" t="s">
        <v>23</v>
      </c>
      <c r="AF4" s="161" t="s">
        <v>24</v>
      </c>
      <c r="AG4" s="161" t="s">
        <v>25</v>
      </c>
      <c r="AH4" s="161" t="s">
        <v>26</v>
      </c>
      <c r="AI4" s="161" t="s">
        <v>27</v>
      </c>
      <c r="AJ4" s="161" t="s">
        <v>28</v>
      </c>
      <c r="AK4" s="395" t="s">
        <v>29</v>
      </c>
      <c r="AL4" s="395"/>
      <c r="AM4" s="160"/>
      <c r="AN4" s="162" t="s">
        <v>30</v>
      </c>
      <c r="AO4" s="163">
        <f>AK11*30/70</f>
        <v>0</v>
      </c>
      <c r="AP4" s="160"/>
      <c r="AQ4" s="165" t="s">
        <v>23</v>
      </c>
      <c r="AR4" s="161" t="s">
        <v>31</v>
      </c>
      <c r="AS4" s="161" t="s">
        <v>25</v>
      </c>
      <c r="AT4" s="161" t="s">
        <v>32</v>
      </c>
      <c r="AU4" s="161" t="s">
        <v>27</v>
      </c>
      <c r="AV4" s="161" t="s">
        <v>28</v>
      </c>
      <c r="AW4" s="395" t="s">
        <v>29</v>
      </c>
      <c r="AX4" s="395"/>
      <c r="AY4" s="161"/>
      <c r="AZ4" s="166" t="s">
        <v>158</v>
      </c>
      <c r="BA4" s="167"/>
      <c r="BB4" s="164">
        <f>AW8*80/20</f>
        <v>0</v>
      </c>
      <c r="BC4" s="108"/>
      <c r="BD4" s="165" t="s">
        <v>23</v>
      </c>
      <c r="BE4" s="161" t="s">
        <v>33</v>
      </c>
      <c r="BF4" s="161" t="s">
        <v>25</v>
      </c>
      <c r="BG4" s="161" t="s">
        <v>32</v>
      </c>
      <c r="BH4" s="161" t="s">
        <v>27</v>
      </c>
      <c r="BI4" s="161" t="s">
        <v>28</v>
      </c>
      <c r="BJ4" s="395" t="s">
        <v>29</v>
      </c>
      <c r="BK4" s="395"/>
      <c r="BL4" s="161"/>
      <c r="BM4" s="108" t="s">
        <v>34</v>
      </c>
      <c r="BN4" s="108"/>
      <c r="BO4" s="164">
        <f>BJ6+BJ5</f>
        <v>0</v>
      </c>
      <c r="BP4" s="160"/>
      <c r="BQ4" s="165" t="s">
        <v>23</v>
      </c>
      <c r="BR4" s="161" t="s">
        <v>35</v>
      </c>
      <c r="BS4" s="161" t="s">
        <v>25</v>
      </c>
      <c r="BT4" s="161" t="s">
        <v>36</v>
      </c>
      <c r="BU4" s="161" t="s">
        <v>27</v>
      </c>
      <c r="BV4" s="161" t="s">
        <v>28</v>
      </c>
      <c r="BW4" s="395" t="s">
        <v>29</v>
      </c>
      <c r="BX4" s="395"/>
      <c r="BY4" s="161"/>
      <c r="BZ4" s="108" t="s">
        <v>37</v>
      </c>
      <c r="CA4" s="108"/>
      <c r="CB4" s="164">
        <f>BW6+BW5</f>
        <v>100</v>
      </c>
      <c r="CC4" s="168" t="s">
        <v>8</v>
      </c>
      <c r="CD4" s="169" t="s">
        <v>9</v>
      </c>
      <c r="CE4" s="170" t="s">
        <v>10</v>
      </c>
      <c r="CF4" s="171" t="s">
        <v>11</v>
      </c>
      <c r="CG4" s="171" t="s">
        <v>12</v>
      </c>
      <c r="CH4" s="171" t="s">
        <v>13</v>
      </c>
      <c r="CI4" s="171" t="s">
        <v>14</v>
      </c>
      <c r="CJ4" s="171" t="s">
        <v>15</v>
      </c>
      <c r="CK4" s="171" t="s">
        <v>16</v>
      </c>
      <c r="CL4" s="171" t="s">
        <v>17</v>
      </c>
      <c r="CM4" s="171" t="s">
        <v>18</v>
      </c>
      <c r="CN4" s="171" t="s">
        <v>128</v>
      </c>
      <c r="CO4" s="171" t="s">
        <v>19</v>
      </c>
      <c r="CP4" s="171" t="s">
        <v>20</v>
      </c>
      <c r="CQ4" s="171" t="s">
        <v>21</v>
      </c>
      <c r="CR4" s="170" t="s">
        <v>22</v>
      </c>
      <c r="CS4" s="160"/>
      <c r="CT4" s="165" t="s">
        <v>23</v>
      </c>
      <c r="CU4" s="161" t="s">
        <v>38</v>
      </c>
      <c r="CV4" s="161" t="s">
        <v>25</v>
      </c>
      <c r="CW4" s="161" t="s">
        <v>36</v>
      </c>
      <c r="CX4" s="161" t="s">
        <v>27</v>
      </c>
      <c r="CY4" s="161" t="s">
        <v>28</v>
      </c>
      <c r="CZ4" s="395" t="s">
        <v>29</v>
      </c>
      <c r="DA4" s="395"/>
      <c r="DB4" s="161"/>
      <c r="DC4" s="166" t="s">
        <v>39</v>
      </c>
      <c r="DD4" s="167"/>
      <c r="DE4" s="164">
        <f>CZ9*20/80</f>
        <v>0</v>
      </c>
      <c r="DF4" s="160"/>
      <c r="DG4" s="165" t="s">
        <v>23</v>
      </c>
      <c r="DH4" s="161" t="s">
        <v>157</v>
      </c>
      <c r="DI4" s="161" t="s">
        <v>25</v>
      </c>
      <c r="DJ4" s="161" t="s">
        <v>36</v>
      </c>
      <c r="DK4" s="161" t="s">
        <v>27</v>
      </c>
      <c r="DL4" s="161" t="s">
        <v>28</v>
      </c>
      <c r="DM4" s="395" t="s">
        <v>29</v>
      </c>
      <c r="DN4" s="395"/>
      <c r="DO4" s="161"/>
      <c r="DP4" s="108"/>
      <c r="DQ4" s="108"/>
      <c r="DR4" s="164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58"/>
      <c r="ER4" s="58"/>
      <c r="ES4" s="58"/>
      <c r="ET4" s="58"/>
      <c r="EU4" s="146"/>
      <c r="EV4" s="58"/>
      <c r="EW4" s="58"/>
      <c r="EX4" s="134"/>
      <c r="EY4" s="58"/>
      <c r="EZ4" s="58"/>
      <c r="FA4" s="58"/>
    </row>
    <row r="5" spans="1:157" x14ac:dyDescent="0.25">
      <c r="A5" s="137" t="s">
        <v>0</v>
      </c>
      <c r="B5" s="302"/>
      <c r="C5" s="126"/>
      <c r="D5" s="255"/>
      <c r="E5" s="56"/>
      <c r="F5" s="56"/>
      <c r="G5" s="56"/>
      <c r="H5" s="56"/>
      <c r="I5" s="56"/>
      <c r="J5" s="56"/>
      <c r="K5" s="256"/>
      <c r="L5" s="105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6" t="s">
        <v>40</v>
      </c>
      <c r="AB5" s="65">
        <f>B16</f>
        <v>0</v>
      </c>
      <c r="AC5" s="65"/>
      <c r="AD5" s="56"/>
      <c r="AE5" s="71" t="s">
        <v>0</v>
      </c>
      <c r="AF5" s="65"/>
      <c r="AG5" s="72">
        <f>AF5/($B$34+0.00001)</f>
        <v>0</v>
      </c>
      <c r="AH5" s="56">
        <f>IF(AG5&lt;90%,AF5,9*(AF6+AF7+AF8+AF9))</f>
        <v>0</v>
      </c>
      <c r="AI5" s="72" t="e">
        <f>AK5/(AJ$34+0.00001)</f>
        <v>#VALUE!</v>
      </c>
      <c r="AJ5" s="56">
        <f>IF(OR($Q$46=$B$10,$Q$47=$B$10,$Q$48=$B$10,$Q$49=$B$10,$Q$50=$B$10,AG5=100%),0,AH5)</f>
        <v>0</v>
      </c>
      <c r="AK5" s="325">
        <f>AJ5</f>
        <v>0</v>
      </c>
      <c r="AL5" s="325"/>
      <c r="AM5" s="60"/>
      <c r="AN5" s="66" t="s">
        <v>40</v>
      </c>
      <c r="AO5" s="65">
        <f>AF16</f>
        <v>0</v>
      </c>
      <c r="AP5" s="56"/>
      <c r="AQ5" s="71" t="s">
        <v>0</v>
      </c>
      <c r="AR5" s="56"/>
      <c r="AS5" s="72">
        <f>AR5/($AR$15+0.00001)</f>
        <v>0</v>
      </c>
      <c r="AT5" s="56">
        <f>IF(AS5&lt;60%,AR5,1.5*(AR6+AR7+AR8))</f>
        <v>0</v>
      </c>
      <c r="AU5" s="72">
        <f>AW5/(AV$19+0.00001)</f>
        <v>0</v>
      </c>
      <c r="AV5" s="56">
        <f>IF(OR($AT$6=$AR$10,$AT$7=$AR$10,$AT$8=$AR$10,$AT$5=$AR$10,AS5=100%),0,AT5)</f>
        <v>0</v>
      </c>
      <c r="AW5" s="325">
        <f>AV5</f>
        <v>0</v>
      </c>
      <c r="AX5" s="325"/>
      <c r="AY5" s="60"/>
      <c r="AZ5" s="66" t="s">
        <v>41</v>
      </c>
      <c r="BA5" s="62"/>
      <c r="BB5" s="65">
        <f>SUM(AW5,AW6,AW7,AR12)</f>
        <v>0</v>
      </c>
      <c r="BC5" s="58"/>
      <c r="BD5" s="71" t="s">
        <v>0</v>
      </c>
      <c r="BE5" s="56"/>
      <c r="BF5" s="72">
        <f>BE5/($BE$15+0.00001)</f>
        <v>0</v>
      </c>
      <c r="BG5" s="56">
        <f>IF(BF5&lt;60%,BE5,1.5*(BE6+BE7))</f>
        <v>0</v>
      </c>
      <c r="BH5" s="72" t="e">
        <f>BJ5/(BI$19+0.00001)</f>
        <v>#DIV/0!</v>
      </c>
      <c r="BI5" s="56">
        <f>IF(OR($BG$6=$BE$8,$BG$7=$BE$8,$BG$5=$BE$8,BF5=100%),0,BG5)</f>
        <v>0</v>
      </c>
      <c r="BJ5" s="325">
        <f>BI5</f>
        <v>0</v>
      </c>
      <c r="BK5" s="325"/>
      <c r="BL5" s="60"/>
      <c r="BM5" s="56" t="s">
        <v>42</v>
      </c>
      <c r="BN5" s="58"/>
      <c r="BO5" s="65">
        <f>BJ7</f>
        <v>0</v>
      </c>
      <c r="BP5" s="56"/>
      <c r="BQ5" s="71" t="s">
        <v>0</v>
      </c>
      <c r="BR5" s="56">
        <v>50</v>
      </c>
      <c r="BS5" s="72">
        <f>BR5/($BR$20+0.00001)</f>
        <v>0.33333331111111258</v>
      </c>
      <c r="BT5" s="56">
        <f>IF(BS5&lt;80%,BR5,4*(BR6+BR7))</f>
        <v>50</v>
      </c>
      <c r="BU5" s="72">
        <f>BW5/(BV$24+0.00001)</f>
        <v>0.33333331111111258</v>
      </c>
      <c r="BV5" s="56">
        <f>IF(OR($BT$7=$BR$8,$BT$6=$BR$8,$BT$5=$BR$8,BS5=100%),0,BT5)</f>
        <v>50</v>
      </c>
      <c r="BW5" s="325">
        <f>BV5</f>
        <v>50</v>
      </c>
      <c r="BX5" s="325"/>
      <c r="BY5" s="60"/>
      <c r="BZ5" s="56" t="s">
        <v>43</v>
      </c>
      <c r="CA5" s="58"/>
      <c r="CB5" s="65">
        <f>BW7</f>
        <v>50</v>
      </c>
      <c r="CC5" s="56" t="e">
        <f>IF(#REF!="","",IF(#REF!="PF",#REF!,0))</f>
        <v>#REF!</v>
      </c>
      <c r="CD5" s="56" t="e">
        <f>IF(#REF!="","",IF(#REF!="PF",IF((#REF!+4)&lt;YEAR(#REF!),0,#REF!),0))</f>
        <v>#REF!</v>
      </c>
      <c r="CE5" s="56" t="e">
        <f>IF(#REF!="","",IF(AND(CD5&gt;0,#REF!&lt;&gt;""),CC5,0))</f>
        <v>#REF!</v>
      </c>
      <c r="CF5" s="56" t="e">
        <f>IF(#REF!="","",IF(AND($CE5&gt;0,#REF!= "GRENACHE N"),#REF!,0))</f>
        <v>#REF!</v>
      </c>
      <c r="CG5" s="56" t="e">
        <f>IF(#REF!="","",IF(AND($CE5&gt;0,#REF!="SYRAH N"),#REF!,0))</f>
        <v>#REF!</v>
      </c>
      <c r="CH5" s="56" t="e">
        <f>IF(#REF!="","",IF(AND($CE5&gt;0,#REF!="CINSAUT N"),#REF!,0))</f>
        <v>#REF!</v>
      </c>
      <c r="CI5" s="56" t="e">
        <f>IF(#REF!="","",IF(AND($CE5&gt;0,#REF!="TIBOUREN N"),#REF!,0))</f>
        <v>#REF!</v>
      </c>
      <c r="CJ5" s="56" t="e">
        <f>IF(#REF!="","",IF(AND($CE5&gt;0,#REF!="MOURVEDRE N"),#REF!,0))</f>
        <v>#REF!</v>
      </c>
      <c r="CK5" s="56" t="e">
        <f>IF(#REF!="","",IF(AND($CE5&gt;0,#REF!="CARIGNAN N"),#REF!,0))</f>
        <v>#REF!</v>
      </c>
      <c r="CL5" s="56" t="e">
        <f>IF(#REF!="","",IF(AND($CE5&gt;0,#REF!="CABERNET SAUVIGNON N"),#REF!,0))</f>
        <v>#REF!</v>
      </c>
      <c r="CM5" s="56" t="e">
        <f>IF(#REF!="","",IF(AND($CE5&gt;0,#REF!="VERMENTINO B"),#REF!,0))</f>
        <v>#REF!</v>
      </c>
      <c r="CN5" s="56" t="e">
        <f>IF(#REF!="","",IF(AND($CE5&gt;0,#REF!="UGNI BLANC B"),#REF!,0))</f>
        <v>#REF!</v>
      </c>
      <c r="CO5" s="56" t="e">
        <f>IF(#REF!="","",IF(AND($CE5&gt;0,#REF!="CLAIRETTE B"),#REF!,0))</f>
        <v>#REF!</v>
      </c>
      <c r="CP5" s="56" t="e">
        <f>IF(#REF!="","",IF(AND($CE5&gt;0,#REF!="semillon B"),#REF!,0))</f>
        <v>#REF!</v>
      </c>
      <c r="CQ5" s="56" t="e">
        <f>IF(#REF!="","",IF(CE5=0,CC5,0))</f>
        <v>#REF!</v>
      </c>
      <c r="CR5" s="56" t="e">
        <f>SUM(CF:CP)</f>
        <v>#REF!</v>
      </c>
      <c r="CS5" s="56"/>
      <c r="CT5" s="71" t="s">
        <v>0</v>
      </c>
      <c r="CU5" s="56"/>
      <c r="CV5" s="72">
        <f>CU5/($CU$14+0.00001)</f>
        <v>0</v>
      </c>
      <c r="CW5" s="56">
        <f>IF(CV5&lt;80%,CU5,4*(CU6+CU7))</f>
        <v>0</v>
      </c>
      <c r="CX5" s="72">
        <f>CZ5/(CY$17+0.00001)</f>
        <v>0</v>
      </c>
      <c r="CY5" s="56">
        <f>IF(OR($CW$5=$CU$8,$CW$6=$CU$8,$CW$7=$CU$8,CV5=100%),0,CW5)</f>
        <v>0</v>
      </c>
      <c r="CZ5" s="325">
        <f>CY5</f>
        <v>0</v>
      </c>
      <c r="DA5" s="325"/>
      <c r="DB5" s="60"/>
      <c r="DC5" s="66" t="s">
        <v>40</v>
      </c>
      <c r="DD5" s="62"/>
      <c r="DE5" s="65">
        <f>CU12+CU11+CU10</f>
        <v>0</v>
      </c>
      <c r="DF5" s="56"/>
      <c r="DG5" s="71" t="s">
        <v>0</v>
      </c>
      <c r="DH5" s="56"/>
      <c r="DI5" s="72">
        <f>DH5/($DH$20+0.00001)</f>
        <v>0</v>
      </c>
      <c r="DJ5" s="56">
        <f>IF(DI5&lt;80%,DH5,4*(DH6+DH7))</f>
        <v>0</v>
      </c>
      <c r="DK5" s="72">
        <f>DM5/(DL$24+0.00001)</f>
        <v>0</v>
      </c>
      <c r="DL5" s="56">
        <f>IF(OR($DJ$7=$DH$8,$DJ$6=$DH$8,$DJ$5=$DH$8,DI5=100%),0,DJ5)</f>
        <v>0</v>
      </c>
      <c r="DM5" s="325">
        <f>DL5</f>
        <v>0</v>
      </c>
      <c r="DN5" s="325"/>
      <c r="DO5" s="60"/>
      <c r="DP5" s="56"/>
      <c r="DQ5" s="58"/>
      <c r="DR5" s="65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63"/>
      <c r="EV5" s="56"/>
      <c r="EW5" s="56"/>
      <c r="EX5" s="103"/>
      <c r="EY5" s="56"/>
      <c r="EZ5" s="56"/>
      <c r="FA5" s="56"/>
    </row>
    <row r="6" spans="1:157" ht="15" customHeight="1" x14ac:dyDescent="0.25">
      <c r="A6" s="138" t="s">
        <v>1</v>
      </c>
      <c r="B6" s="303"/>
      <c r="C6" s="126"/>
      <c r="D6" s="255"/>
      <c r="E6" s="56"/>
      <c r="F6" s="56"/>
      <c r="G6" s="56"/>
      <c r="H6" s="56"/>
      <c r="I6" s="56"/>
      <c r="J6" s="56"/>
      <c r="K6" s="256"/>
      <c r="L6" s="103"/>
      <c r="M6" s="56"/>
      <c r="N6" s="56"/>
      <c r="O6" s="328" t="s">
        <v>58</v>
      </c>
      <c r="P6" s="328"/>
      <c r="Q6" s="328"/>
      <c r="R6" s="324">
        <f>SUM(T46:T50)</f>
        <v>0</v>
      </c>
      <c r="S6" s="324"/>
      <c r="T6" s="74" t="e">
        <f>CONCATENATE("soit ",ROUND(IF(I12=0,0,R6*100/I12),2)," %")</f>
        <v>#VALUE!</v>
      </c>
      <c r="U6" s="60"/>
      <c r="V6" s="60"/>
      <c r="W6" s="60"/>
      <c r="X6" s="60"/>
      <c r="Y6" s="60"/>
      <c r="Z6" s="60"/>
      <c r="AA6" s="66" t="s">
        <v>44</v>
      </c>
      <c r="AB6" s="65">
        <f>IF(AB5=0,0,IF((R6*100/B34)&gt;70,100-(R6*100/B34),30))</f>
        <v>0</v>
      </c>
      <c r="AC6" s="65"/>
      <c r="AD6" s="56"/>
      <c r="AE6" s="71" t="s">
        <v>1</v>
      </c>
      <c r="AF6" s="65"/>
      <c r="AG6" s="72">
        <f>AF6/($B$34+0.00001)</f>
        <v>0</v>
      </c>
      <c r="AH6" s="56">
        <f>IF(AG6&lt;90%,AF6,9*(AF7+AF8+AF9+AF5))</f>
        <v>0</v>
      </c>
      <c r="AI6" s="72" t="e">
        <f>AK6/(AJ$34+0.00001)</f>
        <v>#VALUE!</v>
      </c>
      <c r="AJ6" s="56">
        <f>IF(OR($Q$46=$B$10,$Q$47=$B$10,$Q$48=$B$10,$Q$49=$B$10,$Q$50=$B$10,AG6=100%),0,AH6)</f>
        <v>0</v>
      </c>
      <c r="AK6" s="325">
        <f>AJ6</f>
        <v>0</v>
      </c>
      <c r="AL6" s="325"/>
      <c r="AM6" s="60"/>
      <c r="AN6" s="66" t="s">
        <v>44</v>
      </c>
      <c r="AO6" s="65">
        <f>IF(AO5=0,0,IF((AK11*100/AF32)&gt;70,100-(AK11*100/AF32),30))</f>
        <v>0</v>
      </c>
      <c r="AP6" s="66"/>
      <c r="AQ6" s="71" t="s">
        <v>1</v>
      </c>
      <c r="AR6" s="56"/>
      <c r="AS6" s="72">
        <f>AR6/($AR$15+0.00001)</f>
        <v>0</v>
      </c>
      <c r="AT6" s="56">
        <f>IF(AS6&lt;60%,AR6,1.5*(AR7+AR8+AR5))</f>
        <v>0</v>
      </c>
      <c r="AU6" s="72">
        <f>AW6/(AV$19+0.00001)</f>
        <v>0</v>
      </c>
      <c r="AV6" s="56">
        <f>IF(OR($AT$6=$AR$10,$AT$7=$AR$10,$AT$8=$AR$10,$AT$5=$AR$10,AS6=100%),0,AT6)</f>
        <v>0</v>
      </c>
      <c r="AW6" s="325">
        <f>AV6</f>
        <v>0</v>
      </c>
      <c r="AX6" s="325"/>
      <c r="AY6" s="60"/>
      <c r="AZ6" s="66" t="s">
        <v>45</v>
      </c>
      <c r="BA6" s="62"/>
      <c r="BB6" s="65">
        <f>IF(BB5&gt;BB4,BB4,BB5)</f>
        <v>0</v>
      </c>
      <c r="BC6" s="56"/>
      <c r="BD6" s="71" t="s">
        <v>1</v>
      </c>
      <c r="BE6" s="56"/>
      <c r="BF6" s="72">
        <f>BE6/($BE$15+0.00001)</f>
        <v>0</v>
      </c>
      <c r="BG6" s="56">
        <f>IF(BF6&lt;60%,BE6,1.5*(BE7+BE5))</f>
        <v>0</v>
      </c>
      <c r="BH6" s="72" t="e">
        <f>BJ6/(BI$19+0.00001)</f>
        <v>#DIV/0!</v>
      </c>
      <c r="BI6" s="56">
        <f>IF(OR($BG$6=$BE$8,$BG$7=$BE$8,$BG$5=$BE$8,BF6=100%),0,BG6)</f>
        <v>0</v>
      </c>
      <c r="BJ6" s="325">
        <f>BI6</f>
        <v>0</v>
      </c>
      <c r="BK6" s="325"/>
      <c r="BL6" s="60"/>
      <c r="BM6" s="56" t="s">
        <v>46</v>
      </c>
      <c r="BN6" s="56"/>
      <c r="BO6" s="75">
        <f>IF(BO5&gt;BO4,BO4,BO5)</f>
        <v>0</v>
      </c>
      <c r="BP6" s="56"/>
      <c r="BQ6" s="71" t="s">
        <v>1</v>
      </c>
      <c r="BR6" s="56">
        <v>50</v>
      </c>
      <c r="BS6" s="72">
        <f>BR6/($BR$20+0.00001)</f>
        <v>0.33333331111111258</v>
      </c>
      <c r="BT6" s="56">
        <f>IF(BS6&lt;80%,BR6,4*(BR7+BR5))</f>
        <v>50</v>
      </c>
      <c r="BU6" s="72">
        <f>BW6/(BV$24+0.00001)</f>
        <v>0.33333331111111258</v>
      </c>
      <c r="BV6" s="56">
        <f>IF(OR($BT$6=$BR$8,$BT$7=$BR$8,$BT$5=$BR$8,BS6=100%),0,BT6)</f>
        <v>50</v>
      </c>
      <c r="BW6" s="325">
        <f>BV6</f>
        <v>50</v>
      </c>
      <c r="BX6" s="325"/>
      <c r="BY6" s="60"/>
      <c r="BZ6" s="56" t="s">
        <v>47</v>
      </c>
      <c r="CA6" s="56"/>
      <c r="CB6" s="75">
        <f>IF(CB5&gt;CB4,CB4,CB5)</f>
        <v>50</v>
      </c>
      <c r="CC6" s="56" t="e">
        <f>IF(#REF!="","",IF(#REF!="PF",#REF!,0))</f>
        <v>#REF!</v>
      </c>
      <c r="CD6" s="56" t="e">
        <f>IF(#REF!="","",IF(#REF!="PF",IF((#REF!+4)&lt;YEAR(#REF!),0,#REF!),0))</f>
        <v>#REF!</v>
      </c>
      <c r="CE6" s="56" t="e">
        <f>IF(#REF!="","",IF(AND(CD6&gt;0,#REF!&lt;&gt;""),CC6,0))</f>
        <v>#REF!</v>
      </c>
      <c r="CF6" s="56" t="e">
        <f>IF(#REF!="","",IF(AND($CE6&gt;0,#REF!= "GRENACHE N"),#REF!,0))</f>
        <v>#REF!</v>
      </c>
      <c r="CG6" s="56" t="e">
        <f>IF(#REF!="","",IF(AND($CE6&gt;0,#REF!="SYRAH N"),#REF!,0))</f>
        <v>#REF!</v>
      </c>
      <c r="CH6" s="56" t="e">
        <f>IF(#REF!="","",IF(AND($CE6&gt;0,#REF!="CINSAUT N"),#REF!,0))</f>
        <v>#REF!</v>
      </c>
      <c r="CI6" s="56" t="e">
        <f>IF(#REF!="","",IF(AND($CE6&gt;0,#REF!="TIBOUREN N"),#REF!,0))</f>
        <v>#REF!</v>
      </c>
      <c r="CJ6" s="56" t="e">
        <f>IF(#REF!="","",IF(AND($CE6&gt;0,#REF!="MOURVEDRE N"),#REF!,0))</f>
        <v>#REF!</v>
      </c>
      <c r="CK6" s="56" t="e">
        <f>IF(#REF!="","",IF(AND($CE6&gt;0,#REF!="CARIGNAN N"),#REF!,0))</f>
        <v>#REF!</v>
      </c>
      <c r="CL6" s="56" t="e">
        <f>IF(#REF!="","",IF(AND($CE6&gt;0,#REF!="CABERNET SAUVIGNON N"),#REF!,0))</f>
        <v>#REF!</v>
      </c>
      <c r="CM6" s="56" t="e">
        <f>IF(#REF!="","",IF(AND($CE6&gt;0,#REF!="VERMENTINO B"),#REF!,0))</f>
        <v>#REF!</v>
      </c>
      <c r="CN6" s="56" t="e">
        <f>IF(#REF!="","",IF(AND($CE6&gt;0,#REF!="UGNI BLANC B"),#REF!,0))</f>
        <v>#REF!</v>
      </c>
      <c r="CO6" s="56" t="e">
        <f>IF(#REF!="","",IF(AND($CE6&gt;0,#REF!="CLAIRETTE B"),#REF!,0))</f>
        <v>#REF!</v>
      </c>
      <c r="CP6" s="56" t="e">
        <f>IF(#REF!="","",IF(AND($CE6&gt;0,#REF!="semillon B"),#REF!,0))</f>
        <v>#REF!</v>
      </c>
      <c r="CQ6" s="56" t="e">
        <f>IF(#REF!="","",IF(CE6=0,CC6,0))</f>
        <v>#REF!</v>
      </c>
      <c r="CR6" s="56"/>
      <c r="CS6" s="56"/>
      <c r="CT6" s="71" t="s">
        <v>1</v>
      </c>
      <c r="CU6" s="56"/>
      <c r="CV6" s="72">
        <f>CU6/($CU$14+0.00001)</f>
        <v>0</v>
      </c>
      <c r="CW6" s="56">
        <f>IF(CV6&lt;80%,CU6,4*(CU7+CU5))</f>
        <v>0</v>
      </c>
      <c r="CX6" s="72">
        <f>CZ6/(CY$17+0.00001)</f>
        <v>0</v>
      </c>
      <c r="CY6" s="56">
        <f>IF(OR($CW$6=$CU$8,$CW$7=$CU$8,$CW$5=$CU$8,CV6=100%),0,CW6)</f>
        <v>0</v>
      </c>
      <c r="CZ6" s="325">
        <f>CY6</f>
        <v>0</v>
      </c>
      <c r="DA6" s="325"/>
      <c r="DB6" s="60"/>
      <c r="DC6" s="66" t="s">
        <v>44</v>
      </c>
      <c r="DD6" s="62"/>
      <c r="DE6" s="65" t="e">
        <f>IF((CZ9*100/CU14)&gt;80,100-(CZ9*100/CU14),20)</f>
        <v>#DIV/0!</v>
      </c>
      <c r="DF6" s="56"/>
      <c r="DG6" s="71" t="s">
        <v>1</v>
      </c>
      <c r="DH6" s="56"/>
      <c r="DI6" s="72">
        <f>DH6/($DH$20+0.00001)</f>
        <v>0</v>
      </c>
      <c r="DJ6" s="56">
        <f>IF(DI6&lt;80%,DH6,4*(DH7+DH5))</f>
        <v>0</v>
      </c>
      <c r="DK6" s="72">
        <f>DM6/(DL$24+0.00001)</f>
        <v>0</v>
      </c>
      <c r="DL6" s="56">
        <f>IF(OR($DJ$6=$DH$8,$DJ$7=$DH$8,$DJ$5=$DH$8,DI6=100%),0,DJ6)</f>
        <v>0</v>
      </c>
      <c r="DM6" s="325">
        <f>DL6</f>
        <v>0</v>
      </c>
      <c r="DN6" s="325"/>
      <c r="DO6" s="60"/>
      <c r="DP6" s="56"/>
      <c r="DQ6" s="56"/>
      <c r="DR6" s="7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63"/>
      <c r="EW6" s="56"/>
      <c r="EX6" s="103"/>
      <c r="EY6" s="56"/>
      <c r="EZ6" s="56"/>
      <c r="FA6" s="56"/>
    </row>
    <row r="7" spans="1:157" ht="15" customHeight="1" thickBot="1" x14ac:dyDescent="0.3">
      <c r="A7" s="138" t="s">
        <v>124</v>
      </c>
      <c r="B7" s="303"/>
      <c r="C7" s="126"/>
      <c r="D7" s="257"/>
      <c r="E7" s="107"/>
      <c r="F7" s="107"/>
      <c r="G7" s="107"/>
      <c r="H7" s="107"/>
      <c r="I7" s="107"/>
      <c r="J7" s="107"/>
      <c r="K7" s="258"/>
      <c r="L7" s="103"/>
      <c r="M7" s="56"/>
      <c r="N7" s="56"/>
      <c r="O7" s="326" t="s">
        <v>64</v>
      </c>
      <c r="P7" s="326"/>
      <c r="Q7" s="326"/>
      <c r="R7" s="324">
        <f>IF(B10&lt;R6,0,B10-R6)</f>
        <v>0</v>
      </c>
      <c r="S7" s="324"/>
      <c r="T7" s="77"/>
      <c r="U7" s="60"/>
      <c r="V7" s="60"/>
      <c r="W7" s="60"/>
      <c r="X7" s="60"/>
      <c r="Y7" s="60"/>
      <c r="Z7" s="60"/>
      <c r="AA7" s="66" t="s">
        <v>50</v>
      </c>
      <c r="AB7" s="75">
        <f>IF(B16&gt;AB4,AB4,B16)</f>
        <v>0</v>
      </c>
      <c r="AC7" s="65"/>
      <c r="AD7" s="56"/>
      <c r="AE7" s="71" t="s">
        <v>124</v>
      </c>
      <c r="AF7" s="65"/>
      <c r="AG7" s="72">
        <f>AF7/($B$34+0.00001)</f>
        <v>0</v>
      </c>
      <c r="AH7" s="56">
        <f>IF(AG7&lt;90%,AF7,9*(AF8+AF9+AF6+AF5))</f>
        <v>0</v>
      </c>
      <c r="AI7" s="72" t="e">
        <f>AK7/(AJ$34+0.00001)</f>
        <v>#VALUE!</v>
      </c>
      <c r="AJ7" s="56">
        <f>IF(OR($Q$46=$B$10,$Q$47=$B$10,$Q$48=$B$10,$Q$49=$B$10,$Q$50=$B$10,AG7=100%),0,AH7)</f>
        <v>0</v>
      </c>
      <c r="AK7" s="325">
        <f>AJ7</f>
        <v>0</v>
      </c>
      <c r="AL7" s="325"/>
      <c r="AM7" s="60"/>
      <c r="AN7" s="66" t="s">
        <v>50</v>
      </c>
      <c r="AO7" s="75">
        <f>IF(AF16&gt;AO4,AO4,AF16)</f>
        <v>0</v>
      </c>
      <c r="AP7" s="56"/>
      <c r="AQ7" s="71" t="s">
        <v>124</v>
      </c>
      <c r="AR7" s="56"/>
      <c r="AS7" s="72">
        <f>AR7/($AR$15+0.00001)</f>
        <v>0</v>
      </c>
      <c r="AT7" s="56">
        <f>IF(AS7&lt;60%,AR7,1.5*(AR8+AR6+AR5))</f>
        <v>0</v>
      </c>
      <c r="AU7" s="72">
        <f>AW7/(AV$19+0.00001)</f>
        <v>0</v>
      </c>
      <c r="AV7" s="56">
        <f>IF(OR($AT$6=$AR$10,$AT$7=$AR$10,$AT$8=$AR$10,$AT$5=$AR$10,AS7=100%),0,AT7)</f>
        <v>0</v>
      </c>
      <c r="AW7" s="325">
        <f>AV7</f>
        <v>0</v>
      </c>
      <c r="AX7" s="325"/>
      <c r="AY7" s="60"/>
      <c r="AZ7" s="66"/>
      <c r="BA7" s="62"/>
      <c r="BB7" s="65"/>
      <c r="BC7" s="66"/>
      <c r="BD7" s="71" t="s">
        <v>124</v>
      </c>
      <c r="BE7" s="56"/>
      <c r="BF7" s="72">
        <f>BE7/($BE$15+0.00001)</f>
        <v>0</v>
      </c>
      <c r="BG7" s="56">
        <f>IF(BF7&lt;60%,BE7,1.5*(BE6+BE5))</f>
        <v>0</v>
      </c>
      <c r="BH7" s="72" t="e">
        <f>BJ7/(BI$19+0.00001)</f>
        <v>#DIV/0!</v>
      </c>
      <c r="BI7" s="56">
        <f>IF(OR($BG$6=$BE$8,$BG$7=$BE$8,$BG$5=$BE$8,BF7=100%),0,BG7)</f>
        <v>0</v>
      </c>
      <c r="BJ7" s="325">
        <f>BI7</f>
        <v>0</v>
      </c>
      <c r="BK7" s="325"/>
      <c r="BL7" s="60"/>
      <c r="BM7" s="66" t="s">
        <v>39</v>
      </c>
      <c r="BN7" s="62"/>
      <c r="BO7" s="65">
        <f>BJ10*20/80</f>
        <v>0</v>
      </c>
      <c r="BP7" s="56"/>
      <c r="BQ7" s="71" t="s">
        <v>49</v>
      </c>
      <c r="BR7" s="56">
        <v>50</v>
      </c>
      <c r="BS7" s="72">
        <f>BR7/($BR$20+0.00001)</f>
        <v>0.33333331111111258</v>
      </c>
      <c r="BT7" s="56">
        <f>IF(BS7&lt;80%,BR7,4*(BR6+BR5))</f>
        <v>50</v>
      </c>
      <c r="BU7" s="72">
        <f>BW7/(BV$24+0.00001)</f>
        <v>0.33333331111111258</v>
      </c>
      <c r="BV7" s="56">
        <f>IF(OR($BT$6=$BR$8,$BT$7=$BR$8,$BT$5=$BR$8,BS7=100%),0,BT7)</f>
        <v>50</v>
      </c>
      <c r="BW7" s="325">
        <f>BV7</f>
        <v>50</v>
      </c>
      <c r="BX7" s="325"/>
      <c r="BY7" s="60"/>
      <c r="BZ7" s="66" t="s">
        <v>39</v>
      </c>
      <c r="CA7" s="62"/>
      <c r="CB7" s="65">
        <f>BW10*20/80</f>
        <v>37.5</v>
      </c>
      <c r="CC7" s="56" t="e">
        <f>IF(#REF!="","",IF(#REF!="PF",#REF!,0))</f>
        <v>#REF!</v>
      </c>
      <c r="CD7" s="56" t="e">
        <f>IF(#REF!="","",IF(#REF!="PF",IF((#REF!+4)&lt;YEAR(#REF!),0,#REF!),0))</f>
        <v>#REF!</v>
      </c>
      <c r="CE7" s="56" t="e">
        <f>IF(#REF!="","",IF(AND(CD7&gt;0,#REF!&lt;&gt;""),CC7,0))</f>
        <v>#REF!</v>
      </c>
      <c r="CF7" s="56" t="e">
        <f>IF(#REF!="","",IF(AND($CE7&gt;0,#REF!= "GRENACHE N"),#REF!,0))</f>
        <v>#REF!</v>
      </c>
      <c r="CG7" s="56" t="e">
        <f>IF(#REF!="","",IF(AND($CE7&gt;0,#REF!="SYRAH N"),#REF!,0))</f>
        <v>#REF!</v>
      </c>
      <c r="CH7" s="56" t="e">
        <f>IF(#REF!="","",IF(AND($CE7&gt;0,#REF!="CINSAUT N"),#REF!,0))</f>
        <v>#REF!</v>
      </c>
      <c r="CI7" s="56" t="e">
        <f>IF(#REF!="","",IF(AND($CE7&gt;0,#REF!="TIBOUREN N"),#REF!,0))</f>
        <v>#REF!</v>
      </c>
      <c r="CJ7" s="56" t="e">
        <f>IF(#REF!="","",IF(AND($CE7&gt;0,#REF!="MOURVEDRE N"),#REF!,0))</f>
        <v>#REF!</v>
      </c>
      <c r="CK7" s="56" t="e">
        <f>IF(#REF!="","",IF(AND($CE7&gt;0,#REF!="CARIGNAN N"),#REF!,0))</f>
        <v>#REF!</v>
      </c>
      <c r="CL7" s="56" t="e">
        <f>IF(#REF!="","",IF(AND($CE7&gt;0,#REF!="CABERNET SAUVIGNON N"),#REF!,0))</f>
        <v>#REF!</v>
      </c>
      <c r="CM7" s="56" t="e">
        <f>IF(#REF!="","",IF(AND($CE7&gt;0,#REF!="VERMENTINO B"),#REF!,0))</f>
        <v>#REF!</v>
      </c>
      <c r="CN7" s="56" t="e">
        <f>IF(#REF!="","",IF(AND($CE7&gt;0,#REF!="UGNI BLANC B"),#REF!,0))</f>
        <v>#REF!</v>
      </c>
      <c r="CO7" s="56" t="e">
        <f>IF(#REF!="","",IF(AND($CE7&gt;0,#REF!="CLAIRETTE B"),#REF!,0))</f>
        <v>#REF!</v>
      </c>
      <c r="CP7" s="56" t="e">
        <f>IF(#REF!="","",IF(AND($CE7&gt;0,#REF!="semillon B"),#REF!,0))</f>
        <v>#REF!</v>
      </c>
      <c r="CQ7" s="56" t="e">
        <f>IF(#REF!="","",IF(CE7=0,CC7,0))</f>
        <v>#REF!</v>
      </c>
      <c r="CR7" s="66" t="s">
        <v>48</v>
      </c>
      <c r="CS7" s="78" t="e">
        <f>SUM(CQ:CQ)</f>
        <v>#REF!</v>
      </c>
      <c r="CT7" s="71" t="s">
        <v>124</v>
      </c>
      <c r="CU7" s="56"/>
      <c r="CV7" s="72">
        <f>CU7/($CU$14+0.00001)</f>
        <v>0</v>
      </c>
      <c r="CW7" s="56">
        <f>IF(CV7&lt;80%,CU7,4*(CU6+CU5))</f>
        <v>0</v>
      </c>
      <c r="CX7" s="72">
        <f>CZ7/(CY$17+0.00001)</f>
        <v>0</v>
      </c>
      <c r="CY7" s="56">
        <f>IF(OR($CW$6=$CU$8,$CW$7=$CU$8,$CW$5=$CU$8,CV7=100%),0,CW7)</f>
        <v>0</v>
      </c>
      <c r="CZ7" s="325">
        <f>CY7</f>
        <v>0</v>
      </c>
      <c r="DA7" s="325"/>
      <c r="DB7" s="60"/>
      <c r="DC7" s="66" t="s">
        <v>50</v>
      </c>
      <c r="DD7" s="62"/>
      <c r="DE7" s="75">
        <f>IF(DE5&gt;DE4,DE4,DE5)</f>
        <v>0</v>
      </c>
      <c r="DF7" s="56"/>
      <c r="DG7" s="71" t="s">
        <v>49</v>
      </c>
      <c r="DH7" s="56"/>
      <c r="DI7" s="72">
        <f>DH7/($DH$20+0.00001)</f>
        <v>0</v>
      </c>
      <c r="DJ7" s="56">
        <f>IF(DI7&lt;80%,DH7,4*(DH6+DH5))</f>
        <v>0</v>
      </c>
      <c r="DK7" s="72">
        <f>DM7/(DL$24+0.00001)</f>
        <v>0</v>
      </c>
      <c r="DL7" s="56">
        <f>IF(OR($DJ$6=$DH$8,$DJ$7=$DH$8,$DJ$5=$DH$8,DI7=100%),0,DJ7)</f>
        <v>0</v>
      </c>
      <c r="DM7" s="325">
        <f>DL7</f>
        <v>0</v>
      </c>
      <c r="DN7" s="325"/>
      <c r="DO7" s="60"/>
      <c r="DP7" s="66" t="s">
        <v>39</v>
      </c>
      <c r="DQ7" s="62"/>
      <c r="DR7" s="65">
        <f>DM10*20/80</f>
        <v>0</v>
      </c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118"/>
      <c r="EX7" s="56"/>
      <c r="EY7" s="56"/>
      <c r="EZ7" s="56"/>
      <c r="FA7" s="56"/>
    </row>
    <row r="8" spans="1:157" ht="16.5" thickBot="1" x14ac:dyDescent="0.3">
      <c r="A8" s="138" t="s">
        <v>52</v>
      </c>
      <c r="B8" s="303"/>
      <c r="C8" s="126"/>
      <c r="D8" s="404" t="s">
        <v>209</v>
      </c>
      <c r="E8" s="405"/>
      <c r="F8" s="405"/>
      <c r="G8" s="405"/>
      <c r="H8" s="405"/>
      <c r="I8" s="405"/>
      <c r="J8" s="405"/>
      <c r="K8" s="406"/>
      <c r="L8" s="103"/>
      <c r="M8" s="56"/>
      <c r="N8" s="56"/>
      <c r="O8" s="56"/>
      <c r="P8" s="56"/>
      <c r="Q8" s="56"/>
      <c r="R8" s="56"/>
      <c r="S8" s="56"/>
      <c r="T8" s="73"/>
      <c r="U8" s="60"/>
      <c r="V8" s="60"/>
      <c r="W8" s="60"/>
      <c r="X8" s="60"/>
      <c r="Y8" s="60"/>
      <c r="Z8" s="60"/>
      <c r="AA8" s="56"/>
      <c r="AB8" s="65"/>
      <c r="AC8" s="65"/>
      <c r="AD8" s="56"/>
      <c r="AE8" s="71" t="s">
        <v>52</v>
      </c>
      <c r="AF8" s="65"/>
      <c r="AG8" s="72">
        <f>AF8/($B$34+0.00001)</f>
        <v>0</v>
      </c>
      <c r="AH8" s="56">
        <f>IF(AG8&lt;90%,AF8,9*(AF5+AF9+AF7+AF6))</f>
        <v>0</v>
      </c>
      <c r="AI8" s="72" t="e">
        <f>AK8/(AJ$34+0.00001)</f>
        <v>#VALUE!</v>
      </c>
      <c r="AJ8" s="56">
        <f>IF(OR($Q$46=$B$10,$Q$47=$B$10,$Q$48=$B$10,$Q$49=$B$10,$Q$50=$B$10,AG8=100%),0,AH8)</f>
        <v>0</v>
      </c>
      <c r="AK8" s="325">
        <f>AJ8</f>
        <v>0</v>
      </c>
      <c r="AL8" s="325"/>
      <c r="AM8" s="60"/>
      <c r="AN8" s="56"/>
      <c r="AO8" s="65"/>
      <c r="AP8" s="56"/>
      <c r="AQ8" s="71" t="s">
        <v>52</v>
      </c>
      <c r="AR8" s="56"/>
      <c r="AS8" s="72">
        <f>AR8/($AR$15+0.00001)</f>
        <v>0</v>
      </c>
      <c r="AT8" s="56">
        <f>IF(AS8&lt;60%,AR8,1.5*(AR5+AR7+AR6))</f>
        <v>0</v>
      </c>
      <c r="AU8" s="72">
        <f>AW8/(AV$19+0.00001)</f>
        <v>0</v>
      </c>
      <c r="AV8" s="56">
        <f>IF(OR($AT$6=$AR$10,$AT$7=$AR$10,$AT$8=$AR$10,$AT$5=$AR$10,AS8=100%),0,AT8)</f>
        <v>0</v>
      </c>
      <c r="AW8" s="325">
        <f>AV8</f>
        <v>0</v>
      </c>
      <c r="AX8" s="325"/>
      <c r="AY8" s="60"/>
      <c r="AZ8" s="56"/>
      <c r="BA8" s="56"/>
      <c r="BB8" s="65"/>
      <c r="BC8" s="56"/>
      <c r="BD8" s="79" t="s">
        <v>53</v>
      </c>
      <c r="BE8" s="61">
        <f>SUM(BE5:BE7)</f>
        <v>0</v>
      </c>
      <c r="BF8" s="72"/>
      <c r="BG8" s="56"/>
      <c r="BH8" s="403" t="s">
        <v>54</v>
      </c>
      <c r="BI8" s="403"/>
      <c r="BJ8" s="396">
        <f>BO6</f>
        <v>0</v>
      </c>
      <c r="BK8" s="396"/>
      <c r="BL8" s="60"/>
      <c r="BM8" s="66" t="s">
        <v>40</v>
      </c>
      <c r="BN8" s="62"/>
      <c r="BO8" s="65" t="e">
        <f>BE11+BO15</f>
        <v>#DIV/0!</v>
      </c>
      <c r="BP8" s="56"/>
      <c r="BQ8" s="79" t="s">
        <v>53</v>
      </c>
      <c r="BR8" s="61">
        <f>SUM(BR5:BR7)</f>
        <v>150</v>
      </c>
      <c r="BS8" s="72"/>
      <c r="BT8" s="56"/>
      <c r="BU8" s="72"/>
      <c r="BV8" s="61" t="s">
        <v>55</v>
      </c>
      <c r="BW8" s="396">
        <f>CB6</f>
        <v>50</v>
      </c>
      <c r="BX8" s="396"/>
      <c r="BY8" s="60"/>
      <c r="BZ8" s="66" t="s">
        <v>40</v>
      </c>
      <c r="CA8" s="62"/>
      <c r="CB8" s="65">
        <f>BR13</f>
        <v>0</v>
      </c>
      <c r="CC8" s="56" t="e">
        <f>IF(#REF!="","",IF(#REF!="PF",#REF!,0))</f>
        <v>#REF!</v>
      </c>
      <c r="CD8" s="56" t="e">
        <f>IF(#REF!="","",IF(#REF!="PF",IF((#REF!+4)&lt;YEAR(#REF!),0,#REF!),0))</f>
        <v>#REF!</v>
      </c>
      <c r="CE8" s="56" t="e">
        <f>IF(#REF!="","",IF(AND(CD8&gt;0,#REF!&lt;&gt;""),CC8,0))</f>
        <v>#REF!</v>
      </c>
      <c r="CF8" s="56" t="e">
        <f>IF(#REF!="","",IF(AND($CE8&gt;0,#REF!= "GRENACHE N"),#REF!,0))</f>
        <v>#REF!</v>
      </c>
      <c r="CG8" s="56" t="e">
        <f>IF(#REF!="","",IF(AND($CE8&gt;0,#REF!="SYRAH N"),#REF!,0))</f>
        <v>#REF!</v>
      </c>
      <c r="CH8" s="56" t="e">
        <f>IF(#REF!="","",IF(AND($CE8&gt;0,#REF!="CINSAUT N"),#REF!,0))</f>
        <v>#REF!</v>
      </c>
      <c r="CI8" s="56" t="e">
        <f>IF(#REF!="","",IF(AND($CE8&gt;0,#REF!="TIBOUREN N"),#REF!,0))</f>
        <v>#REF!</v>
      </c>
      <c r="CJ8" s="56" t="e">
        <f>IF(#REF!="","",IF(AND($CE8&gt;0,#REF!="MOURVEDRE N"),#REF!,0))</f>
        <v>#REF!</v>
      </c>
      <c r="CK8" s="56" t="e">
        <f>IF(#REF!="","",IF(AND($CE8&gt;0,#REF!="CARIGNAN N"),#REF!,0))</f>
        <v>#REF!</v>
      </c>
      <c r="CL8" s="56" t="e">
        <f>IF(#REF!="","",IF(AND($CE8&gt;0,#REF!="CABERNET SAUVIGNON N"),#REF!,0))</f>
        <v>#REF!</v>
      </c>
      <c r="CM8" s="56" t="e">
        <f>IF(#REF!="","",IF(AND($CE8&gt;0,#REF!="VERMENTINO B"),#REF!,0))</f>
        <v>#REF!</v>
      </c>
      <c r="CN8" s="56" t="e">
        <f>IF(#REF!="","",IF(AND($CE8&gt;0,#REF!="UGNI BLANC B"),#REF!,0))</f>
        <v>#REF!</v>
      </c>
      <c r="CO8" s="56" t="e">
        <f>IF(#REF!="","",IF(AND($CE8&gt;0,#REF!="CLAIRETTE B"),#REF!,0))</f>
        <v>#REF!</v>
      </c>
      <c r="CP8" s="56" t="e">
        <f>IF(#REF!="","",IF(AND($CE8&gt;0,#REF!="semillon B"),#REF!,0))</f>
        <v>#REF!</v>
      </c>
      <c r="CQ8" s="56" t="e">
        <f>IF(#REF!="","",IF(CE8=0,CC8,0))</f>
        <v>#REF!</v>
      </c>
      <c r="CR8" s="66" t="s">
        <v>51</v>
      </c>
      <c r="CS8" s="78" t="e">
        <f>CS7+CR5</f>
        <v>#REF!</v>
      </c>
      <c r="CT8" s="79" t="s">
        <v>53</v>
      </c>
      <c r="CU8" s="61">
        <f>SUM(CU5:CU7)</f>
        <v>0</v>
      </c>
      <c r="CV8" s="72"/>
      <c r="CW8" s="56"/>
      <c r="CX8" s="403"/>
      <c r="CY8" s="403"/>
      <c r="CZ8" s="396"/>
      <c r="DA8" s="396"/>
      <c r="DB8" s="60"/>
      <c r="DC8" s="56"/>
      <c r="DD8" s="56"/>
      <c r="DE8" s="65"/>
      <c r="DF8" s="56"/>
      <c r="DG8" s="79" t="s">
        <v>53</v>
      </c>
      <c r="DH8" s="61">
        <f>SUM(DH5:DH7)</f>
        <v>0</v>
      </c>
      <c r="DI8" s="72"/>
      <c r="DJ8" s="56"/>
      <c r="DK8" s="72"/>
      <c r="DL8" s="61"/>
      <c r="DM8" s="396"/>
      <c r="DN8" s="396"/>
      <c r="DO8" s="60"/>
      <c r="DP8" s="66" t="s">
        <v>40</v>
      </c>
      <c r="DQ8" s="62"/>
      <c r="DR8" s="65">
        <f>DH13</f>
        <v>0</v>
      </c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107"/>
      <c r="EV8" s="107"/>
      <c r="EW8" s="114"/>
      <c r="EX8" s="56"/>
      <c r="EY8" s="56"/>
      <c r="EZ8" s="56"/>
      <c r="FA8" s="56"/>
    </row>
    <row r="9" spans="1:157" ht="15" customHeight="1" thickBot="1" x14ac:dyDescent="0.3">
      <c r="A9" s="138" t="s">
        <v>49</v>
      </c>
      <c r="B9" s="303"/>
      <c r="C9" s="126"/>
      <c r="D9" s="407"/>
      <c r="E9" s="408"/>
      <c r="F9" s="408"/>
      <c r="G9" s="408"/>
      <c r="H9" s="408"/>
      <c r="I9" s="408"/>
      <c r="J9" s="408"/>
      <c r="K9" s="409"/>
      <c r="L9" s="103"/>
      <c r="M9" s="56"/>
      <c r="N9" s="56"/>
      <c r="O9" s="328" t="s">
        <v>70</v>
      </c>
      <c r="P9" s="328"/>
      <c r="Q9" s="328"/>
      <c r="R9" s="324">
        <f>AB7</f>
        <v>0</v>
      </c>
      <c r="S9" s="324"/>
      <c r="T9" s="74" t="e">
        <f>CONCATENATE("soit ",ROUND(IF(I12=0,0,R9*100/I12),2)," %")</f>
        <v>#VALUE!</v>
      </c>
      <c r="U9" s="60"/>
      <c r="V9" s="60"/>
      <c r="W9" s="60"/>
      <c r="X9" s="60"/>
      <c r="Y9" s="60"/>
      <c r="Z9" s="60"/>
      <c r="AA9" s="68" t="s">
        <v>176</v>
      </c>
      <c r="AB9" s="69">
        <f>IF(AB7=AB4,0,R6*10/70)</f>
        <v>0</v>
      </c>
      <c r="AC9" s="65"/>
      <c r="AD9" s="56"/>
      <c r="AE9" s="71" t="s">
        <v>49</v>
      </c>
      <c r="AF9" s="65"/>
      <c r="AG9" s="72">
        <f>AF9/($B$34+0.00001)</f>
        <v>0</v>
      </c>
      <c r="AH9" s="56">
        <f>IF(AG9&lt;90%,AF9,9*(AF8+AF5+AF6+AF7))</f>
        <v>0</v>
      </c>
      <c r="AI9" s="72" t="e">
        <f>AK9/(AJ$34+0.00001)</f>
        <v>#VALUE!</v>
      </c>
      <c r="AJ9" s="56">
        <f>IF(OR($Q$46=$B$10,$Q$47=$B$10,$Q$48=$B$10,$Q$49=$B$10,$Q$50=$B$10,AG9=100%),0,AH9)</f>
        <v>0</v>
      </c>
      <c r="AK9" s="325">
        <f>AJ9</f>
        <v>0</v>
      </c>
      <c r="AL9" s="325"/>
      <c r="AM9" s="60"/>
      <c r="AN9" s="68" t="s">
        <v>176</v>
      </c>
      <c r="AO9" s="69">
        <f>IF(AO7=AO4,0,AK11*10/70)</f>
        <v>0</v>
      </c>
      <c r="AP9" s="56"/>
      <c r="AQ9" s="56"/>
      <c r="AR9" s="56"/>
      <c r="AS9" s="403" t="s">
        <v>196</v>
      </c>
      <c r="AT9" s="403"/>
      <c r="AU9" s="403"/>
      <c r="AV9" s="403"/>
      <c r="AW9" s="81">
        <f>IF(AV19=0,0,AW8*100/AV19)</f>
        <v>0</v>
      </c>
      <c r="AX9" s="77" t="s">
        <v>56</v>
      </c>
      <c r="AY9" s="60"/>
      <c r="AZ9" s="66" t="s">
        <v>57</v>
      </c>
      <c r="BA9" s="62"/>
      <c r="BB9" s="65">
        <f>AW5+AW6+AW7+AW8</f>
        <v>0</v>
      </c>
      <c r="BC9" s="56"/>
      <c r="BD9" s="56"/>
      <c r="BE9" s="56"/>
      <c r="BF9" s="61"/>
      <c r="BG9" s="61"/>
      <c r="BH9" s="72"/>
      <c r="BI9" s="56"/>
      <c r="BJ9" s="82"/>
      <c r="BK9" s="82"/>
      <c r="BL9" s="82"/>
      <c r="BM9" s="66" t="s">
        <v>44</v>
      </c>
      <c r="BN9" s="62"/>
      <c r="BO9" s="65" t="e">
        <f>IF((BJ10*100/BI19)&gt;80,100-(BJ10*100/BI19),20)</f>
        <v>#DIV/0!</v>
      </c>
      <c r="BP9" s="56"/>
      <c r="BQ9" s="56"/>
      <c r="BR9" s="56"/>
      <c r="BS9" s="61"/>
      <c r="BT9" s="61"/>
      <c r="BU9" s="72"/>
      <c r="BV9" s="56"/>
      <c r="BW9" s="82"/>
      <c r="BX9" s="82"/>
      <c r="BY9" s="82"/>
      <c r="BZ9" s="66" t="s">
        <v>44</v>
      </c>
      <c r="CA9" s="62"/>
      <c r="CB9" s="65">
        <f>IF((BW10*100/BR20)&gt;80,100-(BW10*100/BR20),20)</f>
        <v>0</v>
      </c>
      <c r="CC9" s="56" t="e">
        <f>IF(#REF!="","",IF(#REF!="PF",#REF!,0))</f>
        <v>#REF!</v>
      </c>
      <c r="CD9" s="56" t="e">
        <f>IF(#REF!="","",IF(#REF!="PF",IF((#REF!+4)&lt;YEAR(#REF!),0,#REF!),0))</f>
        <v>#REF!</v>
      </c>
      <c r="CE9" s="56" t="e">
        <f>IF(#REF!="","",IF(AND(CD9&gt;0,#REF!&lt;&gt;""),CC9,0))</f>
        <v>#REF!</v>
      </c>
      <c r="CF9" s="56" t="e">
        <f>IF(#REF!="","",IF(AND($CE9&gt;0,#REF!= "GRENACHE N"),#REF!,0))</f>
        <v>#REF!</v>
      </c>
      <c r="CG9" s="56" t="e">
        <f>IF(#REF!="","",IF(AND($CE9&gt;0,#REF!="SYRAH N"),#REF!,0))</f>
        <v>#REF!</v>
      </c>
      <c r="CH9" s="56" t="e">
        <f>IF(#REF!="","",IF(AND($CE9&gt;0,#REF!="CINSAUT N"),#REF!,0))</f>
        <v>#REF!</v>
      </c>
      <c r="CI9" s="56" t="e">
        <f>IF(#REF!="","",IF(AND($CE9&gt;0,#REF!="TIBOUREN N"),#REF!,0))</f>
        <v>#REF!</v>
      </c>
      <c r="CJ9" s="56" t="e">
        <f>IF(#REF!="","",IF(AND($CE9&gt;0,#REF!="MOURVEDRE N"),#REF!,0))</f>
        <v>#REF!</v>
      </c>
      <c r="CK9" s="56" t="e">
        <f>IF(#REF!="","",IF(AND($CE9&gt;0,#REF!="CARIGNAN N"),#REF!,0))</f>
        <v>#REF!</v>
      </c>
      <c r="CL9" s="56" t="e">
        <f>IF(#REF!="","",IF(AND($CE9&gt;0,#REF!="CABERNET SAUVIGNON N"),#REF!,0))</f>
        <v>#REF!</v>
      </c>
      <c r="CM9" s="56" t="e">
        <f>IF(#REF!="","",IF(AND($CE9&gt;0,#REF!="VERMENTINO B"),#REF!,0))</f>
        <v>#REF!</v>
      </c>
      <c r="CN9" s="56" t="e">
        <f>IF(#REF!="","",IF(AND($CE9&gt;0,#REF!="UGNI BLANC B"),#REF!,0))</f>
        <v>#REF!</v>
      </c>
      <c r="CO9" s="56" t="e">
        <f>IF(#REF!="","",IF(AND($CE9&gt;0,#REF!="CLAIRETTE B"),#REF!,0))</f>
        <v>#REF!</v>
      </c>
      <c r="CP9" s="56" t="e">
        <f>IF(#REF!="","",IF(AND($CE9&gt;0,#REF!="semillon B"),#REF!,0))</f>
        <v>#REF!</v>
      </c>
      <c r="CQ9" s="56" t="e">
        <f>IF(#REF!="","",IF(CE9=0,CC9,0))</f>
        <v>#REF!</v>
      </c>
      <c r="CR9" s="56"/>
      <c r="CS9" s="56"/>
      <c r="CT9" s="56"/>
      <c r="CU9" s="56"/>
      <c r="CV9" s="61"/>
      <c r="CW9" s="328" t="s">
        <v>58</v>
      </c>
      <c r="CX9" s="328"/>
      <c r="CY9" s="328"/>
      <c r="CZ9" s="324">
        <f>SUM(CZ5,CZ6,CZ7)</f>
        <v>0</v>
      </c>
      <c r="DA9" s="324"/>
      <c r="DB9" s="82"/>
      <c r="DC9" s="66"/>
      <c r="DD9" s="62"/>
      <c r="DE9" s="65"/>
      <c r="DF9" s="56"/>
      <c r="DG9" s="56"/>
      <c r="DH9" s="56"/>
      <c r="DI9" s="61"/>
      <c r="DJ9" s="61"/>
      <c r="DK9" s="72"/>
      <c r="DL9" s="56"/>
      <c r="DM9" s="82"/>
      <c r="DN9" s="82"/>
      <c r="DO9" s="82"/>
      <c r="DP9" s="66" t="s">
        <v>44</v>
      </c>
      <c r="DQ9" s="62"/>
      <c r="DR9" s="65" t="e">
        <f>IF((DM10*100/DL24)&gt;80,100-(DM10*100/DL24),20)</f>
        <v>#DIV/0!</v>
      </c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282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63"/>
      <c r="EU9" s="109"/>
      <c r="EV9" s="56"/>
      <c r="EW9" s="63"/>
      <c r="EX9" s="56"/>
      <c r="EY9" s="56"/>
      <c r="EZ9" s="56"/>
      <c r="FA9" s="56"/>
    </row>
    <row r="10" spans="1:157" ht="15.75" customHeight="1" thickBot="1" x14ac:dyDescent="0.3">
      <c r="A10" s="139" t="s">
        <v>204</v>
      </c>
      <c r="B10" s="124">
        <f>SUM(B5:B9)</f>
        <v>0</v>
      </c>
      <c r="C10" s="248"/>
      <c r="D10" s="259"/>
      <c r="E10" s="108"/>
      <c r="F10" s="108"/>
      <c r="G10" s="108"/>
      <c r="H10" s="108"/>
      <c r="I10" s="108"/>
      <c r="J10" s="108"/>
      <c r="K10" s="260"/>
      <c r="L10" s="103"/>
      <c r="M10" s="56"/>
      <c r="N10" s="56"/>
      <c r="O10" s="326" t="s">
        <v>77</v>
      </c>
      <c r="P10" s="326"/>
      <c r="Q10" s="326"/>
      <c r="R10" s="324">
        <f>IF(B16&lt;R9,0,B16-R9)</f>
        <v>0</v>
      </c>
      <c r="S10" s="324"/>
      <c r="T10" s="73"/>
      <c r="U10" s="82"/>
      <c r="V10" s="82"/>
      <c r="W10" s="82"/>
      <c r="X10" s="82"/>
      <c r="Y10" s="82"/>
      <c r="Z10" s="82"/>
      <c r="AA10" s="66" t="s">
        <v>184</v>
      </c>
      <c r="AB10" s="65">
        <f>IF(AB7=AB4,0,IF(AB7&lt;(R6*20/70),R6*10/70,IF(AB7=(R6*20/70),R6*10/70,IF(AB7&gt;(R6*20/70),(R6*30/70)-AB7,0))))</f>
        <v>0</v>
      </c>
      <c r="AC10" s="65"/>
      <c r="AD10" s="56"/>
      <c r="AE10" s="79" t="s">
        <v>53</v>
      </c>
      <c r="AF10" s="77">
        <f>SUM(AF5:AF9)</f>
        <v>0</v>
      </c>
      <c r="AG10" s="61"/>
      <c r="AH10" s="61"/>
      <c r="AI10" s="72"/>
      <c r="AJ10" s="56"/>
      <c r="AK10" s="82"/>
      <c r="AL10" s="82"/>
      <c r="AM10" s="82"/>
      <c r="AN10" s="66" t="s">
        <v>184</v>
      </c>
      <c r="AO10" s="65">
        <f>IF(AO7=AO4,0,IF(AO7&lt;(AK11*20/70),AK11*10/70,IF(AO7=(AK11*20/70),AK11*10/70,IF(AO7&gt;(AK11*20/70),(AK11*30/70)-AO7,0))))</f>
        <v>0</v>
      </c>
      <c r="AP10" s="56"/>
      <c r="AQ10" s="79" t="s">
        <v>53</v>
      </c>
      <c r="AR10" s="61">
        <f>SUM(AR5:AR8)</f>
        <v>0</v>
      </c>
      <c r="AS10" s="61"/>
      <c r="AT10" s="61"/>
      <c r="AU10" s="72"/>
      <c r="AV10" s="56"/>
      <c r="AW10" s="82"/>
      <c r="AX10" s="82"/>
      <c r="AY10" s="82"/>
      <c r="AZ10" s="66" t="s">
        <v>60</v>
      </c>
      <c r="BA10" s="62"/>
      <c r="BB10" s="65">
        <f>IF((AW5+AW6+AW7)&gt;BB6+AW8,BB6,AW5+AW6+AW7+AW8)</f>
        <v>0</v>
      </c>
      <c r="BC10" s="56"/>
      <c r="BD10" s="401"/>
      <c r="BE10" s="401"/>
      <c r="BF10" s="62"/>
      <c r="BG10" s="328" t="s">
        <v>195</v>
      </c>
      <c r="BH10" s="328"/>
      <c r="BI10" s="328"/>
      <c r="BJ10" s="324">
        <f>SUM(BJ5,BJ6,BJ8)</f>
        <v>0</v>
      </c>
      <c r="BK10" s="324"/>
      <c r="BL10" s="74" t="e">
        <f>CONCATENATE("soit ",ROUND(IF(BI19=0,0,BJ10*100/BI19),2)," %")</f>
        <v>#DIV/0!</v>
      </c>
      <c r="BM10" s="66" t="s">
        <v>50</v>
      </c>
      <c r="BN10" s="62"/>
      <c r="BO10" s="75" t="e">
        <f>IF(BE11=0,BO15,IF((BO15+BE11)&gt;BO7,BO7,(BO15+BE11)))</f>
        <v>#DIV/0!</v>
      </c>
      <c r="BP10" s="56"/>
      <c r="BQ10" s="83" t="s">
        <v>61</v>
      </c>
      <c r="BR10" s="56"/>
      <c r="BS10" s="62"/>
      <c r="BT10" s="328" t="s">
        <v>58</v>
      </c>
      <c r="BU10" s="328"/>
      <c r="BV10" s="328"/>
      <c r="BW10" s="324">
        <f>SUM(BW5,BW6,BW8)</f>
        <v>150</v>
      </c>
      <c r="BX10" s="324"/>
      <c r="BY10" s="73"/>
      <c r="BZ10" s="66" t="s">
        <v>50</v>
      </c>
      <c r="CA10" s="62"/>
      <c r="CB10" s="75">
        <f>IF(BR13&gt;CB7,CB7,BR13)</f>
        <v>0</v>
      </c>
      <c r="CC10" s="56" t="e">
        <f>IF(#REF!="","",IF(#REF!="PF",#REF!,0))</f>
        <v>#REF!</v>
      </c>
      <c r="CD10" s="56" t="e">
        <f>IF(#REF!="","",IF(#REF!="PF",IF((#REF!+4)&lt;YEAR(#REF!),0,#REF!),0))</f>
        <v>#REF!</v>
      </c>
      <c r="CE10" s="56" t="e">
        <f>IF(#REF!="","",IF(AND(CD10&gt;0,#REF!&lt;&gt;""),CC10,0))</f>
        <v>#REF!</v>
      </c>
      <c r="CF10" s="56" t="e">
        <f>IF(#REF!="","",IF(AND($CE10&gt;0,#REF!= "GRENACHE N"),#REF!,0))</f>
        <v>#REF!</v>
      </c>
      <c r="CG10" s="56" t="e">
        <f>IF(#REF!="","",IF(AND($CE10&gt;0,#REF!="SYRAH N"),#REF!,0))</f>
        <v>#REF!</v>
      </c>
      <c r="CH10" s="56" t="e">
        <f>IF(#REF!="","",IF(AND($CE10&gt;0,#REF!="CINSAUT N"),#REF!,0))</f>
        <v>#REF!</v>
      </c>
      <c r="CI10" s="56" t="e">
        <f>IF(#REF!="","",IF(AND($CE10&gt;0,#REF!="TIBOUREN N"),#REF!,0))</f>
        <v>#REF!</v>
      </c>
      <c r="CJ10" s="56" t="e">
        <f>IF(#REF!="","",IF(AND($CE10&gt;0,#REF!="MOURVEDRE N"),#REF!,0))</f>
        <v>#REF!</v>
      </c>
      <c r="CK10" s="56" t="e">
        <f>IF(#REF!="","",IF(AND($CE10&gt;0,#REF!="CARIGNAN N"),#REF!,0))</f>
        <v>#REF!</v>
      </c>
      <c r="CL10" s="56" t="e">
        <f>IF(#REF!="","",IF(AND($CE10&gt;0,#REF!="CABERNET SAUVIGNON N"),#REF!,0))</f>
        <v>#REF!</v>
      </c>
      <c r="CM10" s="56" t="e">
        <f>IF(#REF!="","",IF(AND($CE10&gt;0,#REF!="VERMENTINO B"),#REF!,0))</f>
        <v>#REF!</v>
      </c>
      <c r="CN10" s="56" t="e">
        <f>IF(#REF!="","",IF(AND($CE10&gt;0,#REF!="UGNI BLANC B"),#REF!,0))</f>
        <v>#REF!</v>
      </c>
      <c r="CO10" s="56" t="e">
        <f>IF(#REF!="","",IF(AND($CE10&gt;0,#REF!="CLAIRETTE B"),#REF!,0))</f>
        <v>#REF!</v>
      </c>
      <c r="CP10" s="56" t="e">
        <f>IF(#REF!="","",IF(AND($CE10&gt;0,#REF!="semillon B"),#REF!,0))</f>
        <v>#REF!</v>
      </c>
      <c r="CQ10" s="56" t="e">
        <f>IF(#REF!="","",IF(CE10=0,CC10,0))</f>
        <v>#REF!</v>
      </c>
      <c r="CR10" s="56"/>
      <c r="CS10" s="56"/>
      <c r="CT10" s="83" t="s">
        <v>61</v>
      </c>
      <c r="CU10" s="56"/>
      <c r="CV10" s="62"/>
      <c r="CW10" s="336" t="s">
        <v>97</v>
      </c>
      <c r="CX10" s="336"/>
      <c r="CY10" s="336"/>
      <c r="CZ10" s="81">
        <f>IF(CY17=0,0,CZ9*100/CY17)</f>
        <v>0</v>
      </c>
      <c r="DA10" s="77" t="s">
        <v>56</v>
      </c>
      <c r="DB10" s="73"/>
      <c r="DC10" s="66"/>
      <c r="DD10" s="62"/>
      <c r="DE10" s="65"/>
      <c r="DF10" s="56"/>
      <c r="DG10" s="83" t="s">
        <v>61</v>
      </c>
      <c r="DH10" s="56"/>
      <c r="DI10" s="62"/>
      <c r="DJ10" s="328" t="s">
        <v>58</v>
      </c>
      <c r="DK10" s="328"/>
      <c r="DL10" s="328"/>
      <c r="DM10" s="324">
        <f>SUM(DM5,DM6,DM7)</f>
        <v>0</v>
      </c>
      <c r="DN10" s="324"/>
      <c r="DO10" s="73"/>
      <c r="DP10" s="66" t="s">
        <v>50</v>
      </c>
      <c r="DQ10" s="62"/>
      <c r="DR10" s="75">
        <f>IF(DH13&gt;DR7,DR7,DH13)</f>
        <v>0</v>
      </c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63"/>
      <c r="EU10" s="56"/>
      <c r="EV10" s="56"/>
      <c r="EW10" s="56"/>
      <c r="EX10" s="63"/>
      <c r="EY10" s="56"/>
      <c r="EZ10" s="56"/>
      <c r="FA10" s="56"/>
    </row>
    <row r="11" spans="1:157" ht="13.5" customHeight="1" thickBot="1" x14ac:dyDescent="0.3">
      <c r="A11" s="388"/>
      <c r="B11" s="388"/>
      <c r="C11" s="249"/>
      <c r="D11" s="257"/>
      <c r="E11" s="107"/>
      <c r="F11" s="107"/>
      <c r="G11" s="107"/>
      <c r="H11" s="107"/>
      <c r="I11" s="107"/>
      <c r="J11" s="107"/>
      <c r="K11" s="258"/>
      <c r="L11" s="103"/>
      <c r="M11" s="56"/>
      <c r="N11" s="56"/>
      <c r="O11" s="56"/>
      <c r="P11" s="56"/>
      <c r="Q11" s="56"/>
      <c r="R11" s="56"/>
      <c r="S11" s="56"/>
      <c r="T11" s="77"/>
      <c r="U11" s="74"/>
      <c r="V11" s="74"/>
      <c r="W11" s="74"/>
      <c r="X11" s="74"/>
      <c r="Y11" s="74"/>
      <c r="Z11" s="74"/>
      <c r="AA11" s="66" t="s">
        <v>177</v>
      </c>
      <c r="AB11" s="65">
        <f>B18</f>
        <v>0</v>
      </c>
      <c r="AC11" s="65"/>
      <c r="AD11" s="56"/>
      <c r="AE11" s="401"/>
      <c r="AF11" s="401"/>
      <c r="AG11" s="62"/>
      <c r="AH11" s="328" t="s">
        <v>58</v>
      </c>
      <c r="AI11" s="328"/>
      <c r="AJ11" s="328"/>
      <c r="AK11" s="324">
        <f>SUM(AK5:AK9)</f>
        <v>0</v>
      </c>
      <c r="AL11" s="324"/>
      <c r="AM11" s="74" t="e">
        <f>CONCATENATE("soit ",ROUND(IF(AJ34=0,0,AK11*100/AJ34),2)," %")</f>
        <v>#VALUE!</v>
      </c>
      <c r="AN11" s="66" t="s">
        <v>177</v>
      </c>
      <c r="AO11" s="65">
        <f>AF18</f>
        <v>0</v>
      </c>
      <c r="AP11" s="56"/>
      <c r="AQ11" s="401"/>
      <c r="AR11" s="401"/>
      <c r="AS11" s="62"/>
      <c r="AT11" s="328" t="s">
        <v>58</v>
      </c>
      <c r="AU11" s="328"/>
      <c r="AV11" s="328"/>
      <c r="AW11" s="324">
        <f>BB10</f>
        <v>0</v>
      </c>
      <c r="AX11" s="324"/>
      <c r="AY11" s="73"/>
      <c r="AZ11" s="66"/>
      <c r="BA11" s="62"/>
      <c r="BB11" s="65"/>
      <c r="BC11" s="56"/>
      <c r="BD11" s="83" t="s">
        <v>61</v>
      </c>
      <c r="BE11" s="56"/>
      <c r="BF11" s="56"/>
      <c r="BG11" s="326" t="s">
        <v>64</v>
      </c>
      <c r="BH11" s="326"/>
      <c r="BI11" s="326"/>
      <c r="BJ11" s="324">
        <f>IF(BE8&lt;BJ10,0,BE8-BJ10)</f>
        <v>0</v>
      </c>
      <c r="BK11" s="324"/>
      <c r="BL11" s="77"/>
      <c r="BM11" s="56"/>
      <c r="BN11" s="56"/>
      <c r="BO11" s="65"/>
      <c r="BP11" s="56"/>
      <c r="BQ11" s="83" t="s">
        <v>125</v>
      </c>
      <c r="BR11" s="56"/>
      <c r="BS11" s="56"/>
      <c r="BT11" s="336" t="s">
        <v>62</v>
      </c>
      <c r="BU11" s="336"/>
      <c r="BV11" s="336"/>
      <c r="BW11" s="81">
        <f>IF(BV24=0,0,BW10*100/BV24)</f>
        <v>100</v>
      </c>
      <c r="BX11" s="77" t="s">
        <v>56</v>
      </c>
      <c r="BY11" s="77"/>
      <c r="BZ11" s="66"/>
      <c r="CA11" s="62"/>
      <c r="CB11" s="65"/>
      <c r="CC11" s="56" t="e">
        <f>IF(#REF!="","",IF(#REF!="PF",#REF!,0))</f>
        <v>#REF!</v>
      </c>
      <c r="CD11" s="56" t="e">
        <f>IF(#REF!="","",IF(#REF!="PF",IF((#REF!+4)&lt;YEAR(#REF!),0,#REF!),0))</f>
        <v>#REF!</v>
      </c>
      <c r="CE11" s="56" t="e">
        <f>IF(#REF!="","",IF(AND(CD11&gt;0,#REF!&lt;&gt;""),CC11,0))</f>
        <v>#REF!</v>
      </c>
      <c r="CF11" s="56" t="e">
        <f>IF(#REF!="","",IF(AND($CE11&gt;0,#REF!= "GRENACHE N"),#REF!,0))</f>
        <v>#REF!</v>
      </c>
      <c r="CG11" s="56" t="e">
        <f>IF(#REF!="","",IF(AND($CE11&gt;0,#REF!="SYRAH N"),#REF!,0))</f>
        <v>#REF!</v>
      </c>
      <c r="CH11" s="56" t="e">
        <f>IF(#REF!="","",IF(AND($CE11&gt;0,#REF!="CINSAUT N"),#REF!,0))</f>
        <v>#REF!</v>
      </c>
      <c r="CI11" s="56" t="e">
        <f>IF(#REF!="","",IF(AND($CE11&gt;0,#REF!="TIBOUREN N"),#REF!,0))</f>
        <v>#REF!</v>
      </c>
      <c r="CJ11" s="56" t="e">
        <f>IF(#REF!="","",IF(AND($CE11&gt;0,#REF!="MOURVEDRE N"),#REF!,0))</f>
        <v>#REF!</v>
      </c>
      <c r="CK11" s="56" t="e">
        <f>IF(#REF!="","",IF(AND($CE11&gt;0,#REF!="CARIGNAN N"),#REF!,0))</f>
        <v>#REF!</v>
      </c>
      <c r="CL11" s="56" t="e">
        <f>IF(#REF!="","",IF(AND($CE11&gt;0,#REF!="CABERNET SAUVIGNON N"),#REF!,0))</f>
        <v>#REF!</v>
      </c>
      <c r="CM11" s="56" t="e">
        <f>IF(#REF!="","",IF(AND($CE11&gt;0,#REF!="VERMENTINO B"),#REF!,0))</f>
        <v>#REF!</v>
      </c>
      <c r="CN11" s="56" t="e">
        <f>IF(#REF!="","",IF(AND($CE11&gt;0,#REF!="UGNI BLANC B"),#REF!,0))</f>
        <v>#REF!</v>
      </c>
      <c r="CO11" s="56" t="e">
        <f>IF(#REF!="","",IF(AND($CE11&gt;0,#REF!="CLAIRETTE B"),#REF!,0))</f>
        <v>#REF!</v>
      </c>
      <c r="CP11" s="56" t="e">
        <f>IF(#REF!="","",IF(AND($CE11&gt;0,#REF!="semillon B"),#REF!,0))</f>
        <v>#REF!</v>
      </c>
      <c r="CQ11" s="56" t="e">
        <f>IF(#REF!="","",IF(CE11=0,CC11,0))</f>
        <v>#REF!</v>
      </c>
      <c r="CR11" s="56"/>
      <c r="CS11" s="56"/>
      <c r="CT11" s="83" t="s">
        <v>125</v>
      </c>
      <c r="CU11" s="56"/>
      <c r="CV11" s="56"/>
      <c r="CW11" s="326" t="s">
        <v>64</v>
      </c>
      <c r="CX11" s="326"/>
      <c r="CY11" s="326"/>
      <c r="CZ11" s="324">
        <f>IF(CU8&lt;CZ9,0,CU8-CZ9)</f>
        <v>0</v>
      </c>
      <c r="DA11" s="324"/>
      <c r="DB11" s="77"/>
      <c r="DC11" s="85"/>
      <c r="DD11" s="62"/>
      <c r="DE11" s="86"/>
      <c r="DF11" s="56"/>
      <c r="DG11" s="83" t="s">
        <v>125</v>
      </c>
      <c r="DH11" s="56"/>
      <c r="DI11" s="56"/>
      <c r="DJ11" s="336" t="s">
        <v>62</v>
      </c>
      <c r="DK11" s="336"/>
      <c r="DL11" s="336"/>
      <c r="DM11" s="81">
        <f>IF(DL24=0,0,DM10*100/DL24)</f>
        <v>0</v>
      </c>
      <c r="DN11" s="77" t="s">
        <v>56</v>
      </c>
      <c r="DO11" s="77"/>
      <c r="DP11" s="66"/>
      <c r="DQ11" s="62"/>
      <c r="DR11" s="65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63"/>
      <c r="EU11" s="56"/>
      <c r="EV11" s="56"/>
      <c r="EW11" s="56"/>
      <c r="EX11" s="63"/>
      <c r="EY11" s="56"/>
      <c r="EZ11" s="56"/>
      <c r="FA11" s="56"/>
    </row>
    <row r="12" spans="1:157" ht="15.75" customHeight="1" x14ac:dyDescent="0.25">
      <c r="A12" s="128" t="s">
        <v>61</v>
      </c>
      <c r="B12" s="304"/>
      <c r="C12" s="126"/>
      <c r="D12" s="416" t="s">
        <v>131</v>
      </c>
      <c r="E12" s="417"/>
      <c r="F12" s="417"/>
      <c r="G12" s="417"/>
      <c r="H12" s="417"/>
      <c r="I12" s="412" t="str">
        <f>IF(B34&lt;=1.5,"Voir cas &lt;1,5 ha",IF(AND(B34&lt;1.5,B10=50/100*B34),B34,R6+R9+R12+R15+R21+R18))</f>
        <v>Voir cas &lt;1,5 ha</v>
      </c>
      <c r="J12" s="412"/>
      <c r="K12" s="413"/>
      <c r="L12" s="103"/>
      <c r="M12" s="56"/>
      <c r="N12" s="56"/>
      <c r="O12" s="328" t="s">
        <v>168</v>
      </c>
      <c r="P12" s="328"/>
      <c r="Q12" s="328"/>
      <c r="R12" s="324">
        <f>AB13</f>
        <v>0</v>
      </c>
      <c r="S12" s="324"/>
      <c r="T12" s="74" t="e">
        <f>CONCATENATE("soit ",ROUND(IF(I12=0,0,R12*100/I12),2)," %")</f>
        <v>#VALUE!</v>
      </c>
      <c r="U12" s="77"/>
      <c r="V12" s="77"/>
      <c r="W12" s="77"/>
      <c r="X12" s="77"/>
      <c r="Y12" s="77"/>
      <c r="Z12" s="77"/>
      <c r="AA12" s="66" t="s">
        <v>178</v>
      </c>
      <c r="AB12" s="65">
        <f>IF(AB11=0,0,IF(R6*100/(B34)&gt;70,(R6*10)/(R6*100/B34),AB10))</f>
        <v>0</v>
      </c>
      <c r="AC12" s="65"/>
      <c r="AD12" s="56"/>
      <c r="AE12" s="83" t="s">
        <v>61</v>
      </c>
      <c r="AF12" s="65"/>
      <c r="AG12" s="56"/>
      <c r="AH12" s="326" t="s">
        <v>64</v>
      </c>
      <c r="AI12" s="326"/>
      <c r="AJ12" s="326"/>
      <c r="AK12" s="324">
        <f>IF(AF10&lt;AK11,0,AF10-AK11)</f>
        <v>0</v>
      </c>
      <c r="AL12" s="324"/>
      <c r="AM12" s="77"/>
      <c r="AN12" s="66" t="s">
        <v>178</v>
      </c>
      <c r="AO12" s="65">
        <f>IF(AO11=0,0,IF(AK11*100/(AF32)&gt;70,(AK11*10)/(AK11*100/AF32),AO10))</f>
        <v>0</v>
      </c>
      <c r="AP12" s="56"/>
      <c r="AQ12" s="83" t="s">
        <v>49</v>
      </c>
      <c r="AR12" s="56"/>
      <c r="AS12" s="56"/>
      <c r="AT12" s="336" t="s">
        <v>65</v>
      </c>
      <c r="AU12" s="336"/>
      <c r="AV12" s="336"/>
      <c r="AW12" s="81">
        <f>IF(AV19=0,0,AW11*100/AV19)</f>
        <v>0</v>
      </c>
      <c r="AX12" s="77" t="s">
        <v>56</v>
      </c>
      <c r="AY12" s="77"/>
      <c r="AZ12" s="66"/>
      <c r="BA12" s="62"/>
      <c r="BB12" s="65"/>
      <c r="BC12" s="56"/>
      <c r="BD12" s="83" t="s">
        <v>125</v>
      </c>
      <c r="BE12" s="56"/>
      <c r="BF12" s="56"/>
      <c r="BG12" s="56"/>
      <c r="BH12" s="56"/>
      <c r="BI12" s="56"/>
      <c r="BJ12" s="56"/>
      <c r="BK12" s="56"/>
      <c r="BL12" s="73"/>
      <c r="BM12" s="85" t="s">
        <v>66</v>
      </c>
      <c r="BN12" s="66"/>
      <c r="BO12" s="65" t="e">
        <f>BE12*80/BJ10</f>
        <v>#DIV/0!</v>
      </c>
      <c r="BP12" s="56"/>
      <c r="BQ12" s="87" t="s">
        <v>124</v>
      </c>
      <c r="BR12" s="56"/>
      <c r="BS12" s="56"/>
      <c r="BT12" s="326" t="s">
        <v>64</v>
      </c>
      <c r="BU12" s="326"/>
      <c r="BV12" s="326"/>
      <c r="BW12" s="324">
        <f>IF(BR8&lt;BW10,0,BR8-BW10)</f>
        <v>0</v>
      </c>
      <c r="BX12" s="324"/>
      <c r="BY12" s="73"/>
      <c r="BZ12" s="66" t="s">
        <v>59</v>
      </c>
      <c r="CA12" s="62"/>
      <c r="CB12" s="65">
        <f>IF(CB10=CB7,0,IF(CB10&lt;CB7,CB7-CB10,""))</f>
        <v>37.5</v>
      </c>
      <c r="CC12" s="56" t="e">
        <f>IF(#REF!="","",IF(#REF!="PF",#REF!,0))</f>
        <v>#REF!</v>
      </c>
      <c r="CD12" s="56" t="e">
        <f>IF(#REF!="","",IF(#REF!="PF",IF((#REF!+4)&lt;YEAR(#REF!),0,#REF!),0))</f>
        <v>#REF!</v>
      </c>
      <c r="CE12" s="56" t="e">
        <f>IF(#REF!="","",IF(AND(CD12&gt;0,#REF!&lt;&gt;""),CC12,0))</f>
        <v>#REF!</v>
      </c>
      <c r="CF12" s="56" t="e">
        <f>IF(#REF!="","",IF(AND($CE12&gt;0,#REF!= "GRENACHE N"),#REF!,0))</f>
        <v>#REF!</v>
      </c>
      <c r="CG12" s="56" t="e">
        <f>IF(#REF!="","",IF(AND($CE12&gt;0,#REF!="SYRAH N"),#REF!,0))</f>
        <v>#REF!</v>
      </c>
      <c r="CH12" s="56" t="e">
        <f>IF(#REF!="","",IF(AND($CE12&gt;0,#REF!="CINSAUT N"),#REF!,0))</f>
        <v>#REF!</v>
      </c>
      <c r="CI12" s="56" t="e">
        <f>IF(#REF!="","",IF(AND($CE12&gt;0,#REF!="TIBOUREN N"),#REF!,0))</f>
        <v>#REF!</v>
      </c>
      <c r="CJ12" s="56" t="e">
        <f>IF(#REF!="","",IF(AND($CE12&gt;0,#REF!="MOURVEDRE N"),#REF!,0))</f>
        <v>#REF!</v>
      </c>
      <c r="CK12" s="56" t="e">
        <f>IF(#REF!="","",IF(AND($CE12&gt;0,#REF!="CARIGNAN N"),#REF!,0))</f>
        <v>#REF!</v>
      </c>
      <c r="CL12" s="56" t="e">
        <f>IF(#REF!="","",IF(AND($CE12&gt;0,#REF!="CABERNET SAUVIGNON N"),#REF!,0))</f>
        <v>#REF!</v>
      </c>
      <c r="CM12" s="56" t="e">
        <f>IF(#REF!="","",IF(AND($CE12&gt;0,#REF!="VERMENTINO B"),#REF!,0))</f>
        <v>#REF!</v>
      </c>
      <c r="CN12" s="56" t="e">
        <f>IF(#REF!="","",IF(AND($CE12&gt;0,#REF!="UGNI BLANC B"),#REF!,0))</f>
        <v>#REF!</v>
      </c>
      <c r="CO12" s="56" t="e">
        <f>IF(#REF!="","",IF(AND($CE12&gt;0,#REF!="CLAIRETTE B"),#REF!,0))</f>
        <v>#REF!</v>
      </c>
      <c r="CP12" s="56" t="e">
        <f>IF(#REF!="","",IF(AND($CE12&gt;0,#REF!="semillon B"),#REF!,0))</f>
        <v>#REF!</v>
      </c>
      <c r="CQ12" s="56" t="e">
        <f>IF(#REF!="","",IF(CE12=0,CC12,0))</f>
        <v>#REF!</v>
      </c>
      <c r="CR12" s="56"/>
      <c r="CS12" s="56"/>
      <c r="CT12" s="88" t="s">
        <v>67</v>
      </c>
      <c r="CU12" s="61">
        <f>SUM(CU10:CU11)</f>
        <v>0</v>
      </c>
      <c r="CV12" s="56"/>
      <c r="CW12" s="332"/>
      <c r="CX12" s="332"/>
      <c r="CY12" s="332"/>
      <c r="CZ12" s="324"/>
      <c r="DA12" s="324"/>
      <c r="DB12" s="73"/>
      <c r="DC12" s="85"/>
      <c r="DD12" s="62"/>
      <c r="DE12" s="65"/>
      <c r="DF12" s="56"/>
      <c r="DG12" s="87" t="s">
        <v>124</v>
      </c>
      <c r="DH12" s="56"/>
      <c r="DI12" s="56"/>
      <c r="DJ12" s="326" t="s">
        <v>64</v>
      </c>
      <c r="DK12" s="326"/>
      <c r="DL12" s="326"/>
      <c r="DM12" s="324">
        <f>IF(DH8&lt;DM10,0,DH8-DM10)</f>
        <v>0</v>
      </c>
      <c r="DN12" s="324"/>
      <c r="DO12" s="73"/>
      <c r="DP12" s="66" t="s">
        <v>59</v>
      </c>
      <c r="DQ12" s="62"/>
      <c r="DR12" s="65">
        <f>IF(DR10=DR7,0,IF(DR10&lt;DR7,DR7-DR10,""))</f>
        <v>0</v>
      </c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63"/>
      <c r="EU12" s="56"/>
      <c r="EV12" s="56"/>
      <c r="EW12" s="56"/>
      <c r="EX12" s="63"/>
      <c r="EY12" s="56"/>
      <c r="EZ12" s="56"/>
      <c r="FA12" s="56"/>
    </row>
    <row r="13" spans="1:157" ht="13.5" customHeight="1" x14ac:dyDescent="0.25">
      <c r="A13" s="129" t="s">
        <v>125</v>
      </c>
      <c r="B13" s="305"/>
      <c r="C13" s="126"/>
      <c r="D13" s="414" t="s">
        <v>132</v>
      </c>
      <c r="E13" s="415"/>
      <c r="F13" s="415"/>
      <c r="G13" s="415"/>
      <c r="H13" s="415"/>
      <c r="I13" s="410" t="str">
        <f>IF(B34&lt;=1.5,"Voir cas &lt;1,5 ha",R23)</f>
        <v>Voir cas &lt;1,5 ha</v>
      </c>
      <c r="J13" s="410"/>
      <c r="K13" s="411"/>
      <c r="L13" s="103"/>
      <c r="M13" s="56"/>
      <c r="N13" s="56"/>
      <c r="O13" s="326" t="s">
        <v>170</v>
      </c>
      <c r="P13" s="326"/>
      <c r="Q13" s="326"/>
      <c r="R13" s="324">
        <f>IF(B18&lt;R12,0,B18-R12)</f>
        <v>0</v>
      </c>
      <c r="S13" s="324"/>
      <c r="T13" s="73"/>
      <c r="U13" s="73"/>
      <c r="V13" s="73"/>
      <c r="W13" s="73"/>
      <c r="X13" s="73"/>
      <c r="Y13" s="73"/>
      <c r="Z13" s="73"/>
      <c r="AA13" s="66" t="s">
        <v>179</v>
      </c>
      <c r="AB13" s="75">
        <f>IF(B18&gt;AB12,AB12,B18)</f>
        <v>0</v>
      </c>
      <c r="AC13" s="65"/>
      <c r="AD13" s="56"/>
      <c r="AE13" s="83" t="s">
        <v>125</v>
      </c>
      <c r="AF13" s="65"/>
      <c r="AG13" s="56"/>
      <c r="AH13" s="56"/>
      <c r="AI13" s="56"/>
      <c r="AJ13" s="56"/>
      <c r="AK13" s="56"/>
      <c r="AL13" s="56"/>
      <c r="AM13" s="73"/>
      <c r="AN13" s="66" t="s">
        <v>179</v>
      </c>
      <c r="AO13" s="75">
        <f>IF(AF18&gt;AO12,AO12,AF18)</f>
        <v>0</v>
      </c>
      <c r="AP13" s="56"/>
      <c r="AQ13" s="88" t="s">
        <v>67</v>
      </c>
      <c r="AR13" s="61">
        <f>AR12</f>
        <v>0</v>
      </c>
      <c r="AS13" s="56"/>
      <c r="AT13" s="326" t="s">
        <v>64</v>
      </c>
      <c r="AU13" s="326"/>
      <c r="AV13" s="326"/>
      <c r="AW13" s="324">
        <f>IF(AR10&lt;AW11,0,AR10-AW11)</f>
        <v>0</v>
      </c>
      <c r="AX13" s="324"/>
      <c r="AY13" s="73"/>
      <c r="AZ13" s="56"/>
      <c r="BA13" s="58"/>
      <c r="BB13" s="65"/>
      <c r="BC13" s="56"/>
      <c r="BD13" s="88" t="s">
        <v>67</v>
      </c>
      <c r="BE13" s="61">
        <f>SUM(BE11:BE12)</f>
        <v>0</v>
      </c>
      <c r="BF13" s="56"/>
      <c r="BG13" s="328" t="s">
        <v>70</v>
      </c>
      <c r="BH13" s="328"/>
      <c r="BI13" s="328"/>
      <c r="BJ13" s="324" t="e">
        <f>BO10</f>
        <v>#DIV/0!</v>
      </c>
      <c r="BK13" s="324"/>
      <c r="BL13" s="74" t="e">
        <f>CONCATENATE("soit ",ROUND(IF(BI19=0,0,BJ13*100/BI19),2)," %")</f>
        <v>#DIV/0!</v>
      </c>
      <c r="BM13" s="56" t="s">
        <v>69</v>
      </c>
      <c r="BN13" s="56"/>
      <c r="BO13" s="65">
        <f>BO7/2</f>
        <v>0</v>
      </c>
      <c r="BP13" s="56"/>
      <c r="BQ13" s="88" t="s">
        <v>67</v>
      </c>
      <c r="BR13" s="61">
        <f>SUM(BR10:BR12)</f>
        <v>0</v>
      </c>
      <c r="BS13" s="56"/>
      <c r="BT13" s="332"/>
      <c r="BU13" s="332"/>
      <c r="BV13" s="332"/>
      <c r="BW13" s="324"/>
      <c r="BX13" s="324"/>
      <c r="BY13" s="73"/>
      <c r="BZ13" s="66" t="s">
        <v>63</v>
      </c>
      <c r="CA13" s="62"/>
      <c r="CB13" s="65">
        <f>IF(CB12&lt;BR17+BR16+BR18+BR15,CB12,BR17+BR16+BR18+BR15)</f>
        <v>0</v>
      </c>
      <c r="CC13" s="56" t="e">
        <f>IF(#REF!="","",IF(#REF!="PF",#REF!,0))</f>
        <v>#REF!</v>
      </c>
      <c r="CD13" s="56" t="e">
        <f>IF(#REF!="","",IF(#REF!="PF",IF((#REF!+4)&lt;YEAR(#REF!),0,#REF!),0))</f>
        <v>#REF!</v>
      </c>
      <c r="CE13" s="56" t="e">
        <f>IF(#REF!="","",IF(AND(CD13&gt;0,#REF!&lt;&gt;""),CC13,0))</f>
        <v>#REF!</v>
      </c>
      <c r="CF13" s="56" t="e">
        <f>IF(#REF!="","",IF(AND($CE13&gt;0,#REF!= "GRENACHE N"),#REF!,0))</f>
        <v>#REF!</v>
      </c>
      <c r="CG13" s="56" t="e">
        <f>IF(#REF!="","",IF(AND($CE13&gt;0,#REF!="SYRAH N"),#REF!,0))</f>
        <v>#REF!</v>
      </c>
      <c r="CH13" s="56" t="e">
        <f>IF(#REF!="","",IF(AND($CE13&gt;0,#REF!="CINSAUT N"),#REF!,0))</f>
        <v>#REF!</v>
      </c>
      <c r="CI13" s="56" t="e">
        <f>IF(#REF!="","",IF(AND($CE13&gt;0,#REF!="TIBOUREN N"),#REF!,0))</f>
        <v>#REF!</v>
      </c>
      <c r="CJ13" s="56" t="e">
        <f>IF(#REF!="","",IF(AND($CE13&gt;0,#REF!="MOURVEDRE N"),#REF!,0))</f>
        <v>#REF!</v>
      </c>
      <c r="CK13" s="56" t="e">
        <f>IF(#REF!="","",IF(AND($CE13&gt;0,#REF!="CARIGNAN N"),#REF!,0))</f>
        <v>#REF!</v>
      </c>
      <c r="CL13" s="56" t="e">
        <f>IF(#REF!="","",IF(AND($CE13&gt;0,#REF!="CABERNET SAUVIGNON N"),#REF!,0))</f>
        <v>#REF!</v>
      </c>
      <c r="CM13" s="56" t="e">
        <f>IF(#REF!="","",IF(AND($CE13&gt;0,#REF!="VERMENTINO B"),#REF!,0))</f>
        <v>#REF!</v>
      </c>
      <c r="CN13" s="56" t="e">
        <f>IF(#REF!="","",IF(AND($CE13&gt;0,#REF!="UGNI BLANC B"),#REF!,0))</f>
        <v>#REF!</v>
      </c>
      <c r="CO13" s="56" t="e">
        <f>IF(#REF!="","",IF(AND($CE13&gt;0,#REF!="CLAIRETTE B"),#REF!,0))</f>
        <v>#REF!</v>
      </c>
      <c r="CP13" s="56" t="e">
        <f>IF(#REF!="","",IF(AND($CE13&gt;0,#REF!="semillon B"),#REF!,0))</f>
        <v>#REF!</v>
      </c>
      <c r="CQ13" s="56" t="e">
        <f>IF(#REF!="","",IF(CE13=0,CC13,0))</f>
        <v>#REF!</v>
      </c>
      <c r="CR13" s="56"/>
      <c r="CS13" s="56"/>
      <c r="CT13" s="56"/>
      <c r="CU13" s="56"/>
      <c r="CV13" s="56"/>
      <c r="CW13" s="328" t="s">
        <v>70</v>
      </c>
      <c r="CX13" s="328"/>
      <c r="CY13" s="328"/>
      <c r="CZ13" s="324">
        <f>DE7</f>
        <v>0</v>
      </c>
      <c r="DA13" s="324"/>
      <c r="DB13" s="73"/>
      <c r="DC13" s="85"/>
      <c r="DD13" s="62"/>
      <c r="DE13" s="65"/>
      <c r="DF13" s="56"/>
      <c r="DG13" s="88" t="s">
        <v>67</v>
      </c>
      <c r="DH13" s="61">
        <f>SUM(DH10:DH12)</f>
        <v>0</v>
      </c>
      <c r="DI13" s="56"/>
      <c r="DJ13" s="332"/>
      <c r="DK13" s="332"/>
      <c r="DL13" s="332"/>
      <c r="DM13" s="324"/>
      <c r="DN13" s="324"/>
      <c r="DO13" s="73"/>
      <c r="DP13" s="66" t="s">
        <v>63</v>
      </c>
      <c r="DQ13" s="62"/>
      <c r="DR13" s="65">
        <f>IF(DR12&lt;DH17+DH16+DH18+DH15,DR12,DH17+DH16+DH18+DH15)</f>
        <v>0</v>
      </c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63"/>
      <c r="EU13" s="56"/>
      <c r="EV13" s="56"/>
      <c r="EW13" s="56"/>
      <c r="EX13" s="63"/>
      <c r="EY13" s="63"/>
      <c r="EZ13" s="56"/>
      <c r="FA13" s="56"/>
    </row>
    <row r="14" spans="1:157" ht="15" customHeight="1" thickBot="1" x14ac:dyDescent="0.3">
      <c r="A14" s="131" t="s">
        <v>129</v>
      </c>
      <c r="B14" s="305"/>
      <c r="C14" s="126"/>
      <c r="D14" s="432" t="s">
        <v>206</v>
      </c>
      <c r="E14" s="433"/>
      <c r="F14" s="433"/>
      <c r="G14" s="433"/>
      <c r="H14" s="433"/>
      <c r="I14" s="430" t="str">
        <f>IF(B34&lt;=1.5,"Voir cas &lt;1,5 ha",R7+R10+R13+R16+R19+R23)</f>
        <v>Voir cas &lt;1,5 ha</v>
      </c>
      <c r="J14" s="430"/>
      <c r="K14" s="431"/>
      <c r="L14" s="103"/>
      <c r="M14" s="56"/>
      <c r="N14" s="56"/>
      <c r="O14" s="56"/>
      <c r="P14" s="56"/>
      <c r="Q14" s="56"/>
      <c r="R14" s="56"/>
      <c r="S14" s="56"/>
      <c r="T14" s="77"/>
      <c r="U14" s="74"/>
      <c r="V14" s="74"/>
      <c r="W14" s="74"/>
      <c r="X14" s="74"/>
      <c r="Y14" s="74"/>
      <c r="Z14" s="74"/>
      <c r="AA14" s="56"/>
      <c r="AB14" s="65"/>
      <c r="AC14" s="65"/>
      <c r="AD14" s="56"/>
      <c r="AE14" s="87" t="s">
        <v>129</v>
      </c>
      <c r="AF14" s="65"/>
      <c r="AG14" s="56"/>
      <c r="AH14" s="328" t="s">
        <v>70</v>
      </c>
      <c r="AI14" s="328"/>
      <c r="AJ14" s="328"/>
      <c r="AK14" s="324">
        <f>AP7</f>
        <v>0</v>
      </c>
      <c r="AL14" s="324"/>
      <c r="AM14" s="74" t="e">
        <f>CONCATENATE("soit ",ROUND(IF(AJ34=0,0,AK14*100/AJ34),2)," %")</f>
        <v>#VALUE!</v>
      </c>
      <c r="AN14" s="56"/>
      <c r="AO14" s="65"/>
      <c r="AP14" s="56"/>
      <c r="AQ14" s="90"/>
      <c r="AR14" s="56"/>
      <c r="AS14" s="56"/>
      <c r="AT14" s="332"/>
      <c r="AU14" s="332"/>
      <c r="AV14" s="332"/>
      <c r="AW14" s="324"/>
      <c r="AX14" s="324"/>
      <c r="AY14" s="73"/>
      <c r="AZ14" s="56"/>
      <c r="BA14" s="56"/>
      <c r="BB14" s="65"/>
      <c r="BC14" s="56"/>
      <c r="BD14" s="56"/>
      <c r="BE14" s="56"/>
      <c r="BF14" s="56"/>
      <c r="BG14" s="336" t="s">
        <v>74</v>
      </c>
      <c r="BH14" s="336"/>
      <c r="BI14" s="336"/>
      <c r="BJ14" s="81" t="e">
        <f>IF(BI19=0,0,BJ13*100/BI19)</f>
        <v>#DIV/0!</v>
      </c>
      <c r="BK14" s="77" t="s">
        <v>56</v>
      </c>
      <c r="BL14" s="56"/>
      <c r="BM14" s="56" t="s">
        <v>72</v>
      </c>
      <c r="BN14" s="56"/>
      <c r="BO14" s="65">
        <f>BE12</f>
        <v>0</v>
      </c>
      <c r="BP14" s="56"/>
      <c r="BQ14" s="56"/>
      <c r="BR14" s="56"/>
      <c r="BS14" s="56"/>
      <c r="BT14" s="328" t="s">
        <v>70</v>
      </c>
      <c r="BU14" s="328"/>
      <c r="BV14" s="328"/>
      <c r="BW14" s="324">
        <f>CB10</f>
        <v>0</v>
      </c>
      <c r="BX14" s="324"/>
      <c r="BY14" s="73"/>
      <c r="BZ14" s="66"/>
      <c r="CA14" s="62"/>
      <c r="CB14" s="65"/>
      <c r="CC14" s="56" t="e">
        <f>IF(#REF!="","",IF(#REF!="PF",#REF!,0))</f>
        <v>#REF!</v>
      </c>
      <c r="CD14" s="56" t="e">
        <f>IF(#REF!="","",IF(#REF!="PF",IF((#REF!+4)&lt;YEAR(#REF!),0,#REF!),0))</f>
        <v>#REF!</v>
      </c>
      <c r="CE14" s="56" t="e">
        <f>IF(#REF!="","",IF(AND(CD14&gt;0,#REF!&lt;&gt;""),CC14,0))</f>
        <v>#REF!</v>
      </c>
      <c r="CF14" s="56" t="e">
        <f>IF(#REF!="","",IF(AND($CE14&gt;0,#REF!= "GRENACHE N"),#REF!,0))</f>
        <v>#REF!</v>
      </c>
      <c r="CG14" s="56" t="e">
        <f>IF(#REF!="","",IF(AND($CE14&gt;0,#REF!="SYRAH N"),#REF!,0))</f>
        <v>#REF!</v>
      </c>
      <c r="CH14" s="56" t="e">
        <f>IF(#REF!="","",IF(AND($CE14&gt;0,#REF!="CINSAUT N"),#REF!,0))</f>
        <v>#REF!</v>
      </c>
      <c r="CI14" s="56" t="e">
        <f>IF(#REF!="","",IF(AND($CE14&gt;0,#REF!="TIBOUREN N"),#REF!,0))</f>
        <v>#REF!</v>
      </c>
      <c r="CJ14" s="56" t="e">
        <f>IF(#REF!="","",IF(AND($CE14&gt;0,#REF!="MOURVEDRE N"),#REF!,0))</f>
        <v>#REF!</v>
      </c>
      <c r="CK14" s="56" t="e">
        <f>IF(#REF!="","",IF(AND($CE14&gt;0,#REF!="CARIGNAN N"),#REF!,0))</f>
        <v>#REF!</v>
      </c>
      <c r="CL14" s="56" t="e">
        <f>IF(#REF!="","",IF(AND($CE14&gt;0,#REF!="CABERNET SAUVIGNON N"),#REF!,0))</f>
        <v>#REF!</v>
      </c>
      <c r="CM14" s="56" t="e">
        <f>IF(#REF!="","",IF(AND($CE14&gt;0,#REF!="VERMENTINO B"),#REF!,0))</f>
        <v>#REF!</v>
      </c>
      <c r="CN14" s="56" t="e">
        <f>IF(#REF!="","",IF(AND($CE14&gt;0,#REF!="UGNI BLANC B"),#REF!,0))</f>
        <v>#REF!</v>
      </c>
      <c r="CO14" s="56" t="e">
        <f>IF(#REF!="","",IF(AND($CE14&gt;0,#REF!="CLAIRETTE B"),#REF!,0))</f>
        <v>#REF!</v>
      </c>
      <c r="CP14" s="56" t="e">
        <f>IF(#REF!="","",IF(AND($CE14&gt;0,#REF!="semillon B"),#REF!,0))</f>
        <v>#REF!</v>
      </c>
      <c r="CQ14" s="56" t="e">
        <f>IF(#REF!="","",IF(CE14=0,CC14,0))</f>
        <v>#REF!</v>
      </c>
      <c r="CR14" s="56"/>
      <c r="CS14" s="56"/>
      <c r="CT14" s="91" t="s">
        <v>73</v>
      </c>
      <c r="CU14" s="92">
        <f>CU12+CU8</f>
        <v>0</v>
      </c>
      <c r="CV14" s="56"/>
      <c r="CW14" s="336" t="s">
        <v>74</v>
      </c>
      <c r="CX14" s="336"/>
      <c r="CY14" s="336"/>
      <c r="CZ14" s="81">
        <f>IF(CY17=0,0,CZ13*100/CY17)</f>
        <v>0</v>
      </c>
      <c r="DA14" s="77" t="s">
        <v>56</v>
      </c>
      <c r="DB14" s="73"/>
      <c r="DC14" s="85"/>
      <c r="DD14" s="62"/>
      <c r="DE14" s="65"/>
      <c r="DF14" s="56"/>
      <c r="DG14" s="56"/>
      <c r="DH14" s="56"/>
      <c r="DI14" s="56"/>
      <c r="DJ14" s="328" t="s">
        <v>70</v>
      </c>
      <c r="DK14" s="328"/>
      <c r="DL14" s="328"/>
      <c r="DM14" s="324">
        <f>DR10</f>
        <v>0</v>
      </c>
      <c r="DN14" s="324"/>
      <c r="DO14" s="73"/>
      <c r="DP14" s="66"/>
      <c r="DQ14" s="62"/>
      <c r="DR14" s="65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63"/>
      <c r="EU14" s="110"/>
      <c r="EV14" s="56"/>
      <c r="EW14" s="56"/>
      <c r="EX14" s="63"/>
      <c r="EY14" s="63"/>
      <c r="EZ14" s="56"/>
      <c r="FA14" s="56"/>
    </row>
    <row r="15" spans="1:157" ht="15" customHeight="1" x14ac:dyDescent="0.25">
      <c r="A15" s="129" t="s">
        <v>130</v>
      </c>
      <c r="B15" s="305"/>
      <c r="C15" s="126"/>
      <c r="D15" s="261"/>
      <c r="E15" s="145"/>
      <c r="F15" s="145"/>
      <c r="G15" s="145"/>
      <c r="H15" s="145"/>
      <c r="I15" s="145"/>
      <c r="J15" s="145"/>
      <c r="K15" s="262"/>
      <c r="L15" s="103"/>
      <c r="M15" s="56"/>
      <c r="N15" s="56"/>
      <c r="O15" s="328" t="s">
        <v>169</v>
      </c>
      <c r="P15" s="328"/>
      <c r="Q15" s="328"/>
      <c r="R15" s="324">
        <f>AB19</f>
        <v>0</v>
      </c>
      <c r="S15" s="324"/>
      <c r="T15" s="74" t="e">
        <f>CONCATENATE("soit ",ROUND(IF(I12=0,0,R15*100/I12),2)," %")</f>
        <v>#VALUE!</v>
      </c>
      <c r="U15" s="73"/>
      <c r="V15" s="73"/>
      <c r="W15" s="73"/>
      <c r="X15" s="73"/>
      <c r="Y15" s="73"/>
      <c r="Z15" s="73"/>
      <c r="AA15" s="68" t="s">
        <v>180</v>
      </c>
      <c r="AB15" s="69">
        <f>IF((AB7+AB13)=AB4,0,R6*10/70)</f>
        <v>0</v>
      </c>
      <c r="AC15" s="65"/>
      <c r="AD15" s="56"/>
      <c r="AE15" s="83" t="s">
        <v>130</v>
      </c>
      <c r="AF15" s="65"/>
      <c r="AG15" s="56"/>
      <c r="AH15" s="326" t="s">
        <v>77</v>
      </c>
      <c r="AI15" s="326"/>
      <c r="AJ15" s="326"/>
      <c r="AK15" s="324">
        <f>IF(AF16&lt;AK14,0,AF16-AK14)</f>
        <v>0</v>
      </c>
      <c r="AL15" s="324"/>
      <c r="AM15" s="73"/>
      <c r="AN15" s="68" t="s">
        <v>180</v>
      </c>
      <c r="AO15" s="69">
        <f>IF((AO7+AO13)=AO4,0,AK11*10/70)</f>
        <v>0</v>
      </c>
      <c r="AP15" s="56"/>
      <c r="AQ15" s="91" t="s">
        <v>73</v>
      </c>
      <c r="AR15" s="92">
        <f>AR13+AR10</f>
        <v>0</v>
      </c>
      <c r="AS15" s="56"/>
      <c r="AT15" s="328" t="s">
        <v>70</v>
      </c>
      <c r="AU15" s="328"/>
      <c r="AV15" s="328"/>
      <c r="AW15" s="324">
        <f>BB24</f>
        <v>0</v>
      </c>
      <c r="AX15" s="324"/>
      <c r="AY15" s="73"/>
      <c r="AZ15" s="66" t="s">
        <v>39</v>
      </c>
      <c r="BA15" s="62"/>
      <c r="BB15" s="65">
        <f>AW11*20/80</f>
        <v>0</v>
      </c>
      <c r="BC15" s="56"/>
      <c r="BD15" s="91" t="s">
        <v>73</v>
      </c>
      <c r="BE15" s="92">
        <f>BE13+BE8</f>
        <v>0</v>
      </c>
      <c r="BF15" s="61"/>
      <c r="BG15" s="336" t="s">
        <v>79</v>
      </c>
      <c r="BH15" s="336"/>
      <c r="BI15" s="336"/>
      <c r="BJ15" s="324" t="e">
        <f>BO15</f>
        <v>#DIV/0!</v>
      </c>
      <c r="BK15" s="324"/>
      <c r="BL15" s="74" t="e">
        <f>CONCATENATE("soit ",ROUND(IF(BI19=0,0,BJ15*100/BI19),2)," %")</f>
        <v>#DIV/0!</v>
      </c>
      <c r="BM15" s="56" t="s">
        <v>76</v>
      </c>
      <c r="BN15" s="56"/>
      <c r="BO15" s="75" t="e">
        <f>IF(BO12&gt;10,(0.1/0.9)*(BJ10+BE11),BE12)</f>
        <v>#DIV/0!</v>
      </c>
      <c r="BP15" s="56"/>
      <c r="BQ15" s="93" t="s">
        <v>126</v>
      </c>
      <c r="BR15" s="56"/>
      <c r="BS15" s="61"/>
      <c r="BT15" s="336" t="s">
        <v>74</v>
      </c>
      <c r="BU15" s="336"/>
      <c r="BV15" s="336"/>
      <c r="BW15" s="81">
        <f>IF(BV24=0,0,BW14*100/BV24)</f>
        <v>0</v>
      </c>
      <c r="BX15" s="77" t="s">
        <v>56</v>
      </c>
      <c r="BY15" s="77"/>
      <c r="BZ15" s="85" t="s">
        <v>68</v>
      </c>
      <c r="CA15" s="62"/>
      <c r="CB15" s="86">
        <f>IF(CB13=0,0,CB13*100/CB23)</f>
        <v>0</v>
      </c>
      <c r="CC15" s="56" t="e">
        <f>IF(#REF!="","",IF(#REF!="PF",#REF!,0))</f>
        <v>#REF!</v>
      </c>
      <c r="CD15" s="56" t="e">
        <f>IF(#REF!="","",IF(#REF!="PF",IF((#REF!+4)&lt;YEAR(#REF!),0,#REF!),0))</f>
        <v>#REF!</v>
      </c>
      <c r="CE15" s="56" t="e">
        <f>IF(#REF!="","",IF(AND(CD15&gt;0,#REF!&lt;&gt;""),CC15,0))</f>
        <v>#REF!</v>
      </c>
      <c r="CF15" s="56" t="e">
        <f>IF(#REF!="","",IF(AND($CE15&gt;0,#REF!= "GRENACHE N"),#REF!,0))</f>
        <v>#REF!</v>
      </c>
      <c r="CG15" s="56" t="e">
        <f>IF(#REF!="","",IF(AND($CE15&gt;0,#REF!="SYRAH N"),#REF!,0))</f>
        <v>#REF!</v>
      </c>
      <c r="CH15" s="56" t="e">
        <f>IF(#REF!="","",IF(AND($CE15&gt;0,#REF!="CINSAUT N"),#REF!,0))</f>
        <v>#REF!</v>
      </c>
      <c r="CI15" s="56" t="e">
        <f>IF(#REF!="","",IF(AND($CE15&gt;0,#REF!="TIBOUREN N"),#REF!,0))</f>
        <v>#REF!</v>
      </c>
      <c r="CJ15" s="56" t="e">
        <f>IF(#REF!="","",IF(AND($CE15&gt;0,#REF!="MOURVEDRE N"),#REF!,0))</f>
        <v>#REF!</v>
      </c>
      <c r="CK15" s="56" t="e">
        <f>IF(#REF!="","",IF(AND($CE15&gt;0,#REF!="CARIGNAN N"),#REF!,0))</f>
        <v>#REF!</v>
      </c>
      <c r="CL15" s="56" t="e">
        <f>IF(#REF!="","",IF(AND($CE15&gt;0,#REF!="CABERNET SAUVIGNON N"),#REF!,0))</f>
        <v>#REF!</v>
      </c>
      <c r="CM15" s="56" t="e">
        <f>IF(#REF!="","",IF(AND($CE15&gt;0,#REF!="VERMENTINO B"),#REF!,0))</f>
        <v>#REF!</v>
      </c>
      <c r="CN15" s="56" t="e">
        <f>IF(#REF!="","",IF(AND($CE15&gt;0,#REF!="UGNI BLANC B"),#REF!,0))</f>
        <v>#REF!</v>
      </c>
      <c r="CO15" s="56" t="e">
        <f>IF(#REF!="","",IF(AND($CE15&gt;0,#REF!="CLAIRETTE B"),#REF!,0))</f>
        <v>#REF!</v>
      </c>
      <c r="CP15" s="56" t="e">
        <f>IF(#REF!="","",IF(AND($CE15&gt;0,#REF!="semillon B"),#REF!,0))</f>
        <v>#REF!</v>
      </c>
      <c r="CQ15" s="56" t="e">
        <f>IF(#REF!="","",IF(CE15=0,CC15,0))</f>
        <v>#REF!</v>
      </c>
      <c r="CR15" s="56"/>
      <c r="CS15" s="56"/>
      <c r="CT15" s="56"/>
      <c r="CU15" s="56"/>
      <c r="CV15" s="61"/>
      <c r="CW15" s="326" t="s">
        <v>77</v>
      </c>
      <c r="CX15" s="326"/>
      <c r="CY15" s="326"/>
      <c r="CZ15" s="324">
        <f>IF(CU12&lt;CZ13,0,CU12-CZ13)</f>
        <v>0</v>
      </c>
      <c r="DA15" s="324"/>
      <c r="DB15" s="77"/>
      <c r="DC15" s="85"/>
      <c r="DD15" s="62"/>
      <c r="DE15" s="65"/>
      <c r="DF15" s="56"/>
      <c r="DG15" s="93" t="s">
        <v>126</v>
      </c>
      <c r="DH15" s="56"/>
      <c r="DI15" s="61"/>
      <c r="DJ15" s="336" t="s">
        <v>74</v>
      </c>
      <c r="DK15" s="336"/>
      <c r="DL15" s="336"/>
      <c r="DM15" s="81">
        <f>IF(DL24=0,0,DM14*100/DL24)</f>
        <v>0</v>
      </c>
      <c r="DN15" s="77" t="s">
        <v>56</v>
      </c>
      <c r="DO15" s="77"/>
      <c r="DP15" s="85" t="s">
        <v>68</v>
      </c>
      <c r="DQ15" s="62"/>
      <c r="DR15" s="86">
        <f>IF(DR13=0,0,DR13*100/DR23)</f>
        <v>0</v>
      </c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63"/>
      <c r="EU15" s="110"/>
      <c r="EV15" s="56"/>
      <c r="EW15" s="56"/>
      <c r="EX15" s="63"/>
      <c r="EY15" s="63"/>
      <c r="EZ15" s="56"/>
      <c r="FA15" s="56"/>
    </row>
    <row r="16" spans="1:157" ht="15" customHeight="1" thickBot="1" x14ac:dyDescent="0.3">
      <c r="A16" s="132" t="s">
        <v>205</v>
      </c>
      <c r="B16" s="133">
        <f>SUM(B12:B15)</f>
        <v>0</v>
      </c>
      <c r="C16" s="126"/>
      <c r="D16" s="257"/>
      <c r="E16" s="107"/>
      <c r="F16" s="107"/>
      <c r="G16" s="107"/>
      <c r="H16" s="107"/>
      <c r="I16" s="107"/>
      <c r="J16" s="107"/>
      <c r="K16" s="258"/>
      <c r="L16" s="103"/>
      <c r="M16" s="56"/>
      <c r="N16" s="56"/>
      <c r="O16" s="326" t="s">
        <v>171</v>
      </c>
      <c r="P16" s="326"/>
      <c r="Q16" s="326"/>
      <c r="R16" s="324">
        <f>IF(B17&lt;R15,0,B17-R15)</f>
        <v>0</v>
      </c>
      <c r="S16" s="324"/>
      <c r="T16" s="73"/>
      <c r="U16" s="77"/>
      <c r="V16" s="77"/>
      <c r="W16" s="77"/>
      <c r="X16" s="77"/>
      <c r="Y16" s="77"/>
      <c r="Z16" s="77"/>
      <c r="AA16" s="66" t="s">
        <v>185</v>
      </c>
      <c r="AB16" s="65">
        <f>IF((AB7+AB13)=AB4,0,IF((AB7+AB13)&lt;(R6*20/70),R6*10/70,IF((AB7+AB13)=(R6*20/70),R6*10/70,IF((AB7+AB13)&gt;(R6*20/70),(R6*30/70)-(AB7+AB13),0))))</f>
        <v>0</v>
      </c>
      <c r="AC16" s="65"/>
      <c r="AD16" s="56"/>
      <c r="AE16" s="88" t="s">
        <v>67</v>
      </c>
      <c r="AF16" s="77">
        <f>SUM(AF12:AF15)</f>
        <v>0</v>
      </c>
      <c r="AG16" s="56"/>
      <c r="AH16" s="56"/>
      <c r="AI16" s="56"/>
      <c r="AJ16" s="56"/>
      <c r="AK16" s="56"/>
      <c r="AL16" s="56"/>
      <c r="AM16" s="77"/>
      <c r="AN16" s="66" t="s">
        <v>185</v>
      </c>
      <c r="AO16" s="65">
        <f>IF((AO7+AO13)=AO4,0,IF((AO7+AO13)&lt;(AK11*20/70),AK11*10/70,IF((AO7+AO13)=(AK11*20/70),AK11*10/70,IF((AO7+AO13)&gt;(AK11*20/70),(AK11*30/70)-(AO7+AO13),0))))</f>
        <v>0</v>
      </c>
      <c r="AP16" s="56"/>
      <c r="AQ16" s="94"/>
      <c r="AR16" s="61"/>
      <c r="AS16" s="56"/>
      <c r="AT16" s="336" t="s">
        <v>74</v>
      </c>
      <c r="AU16" s="336"/>
      <c r="AV16" s="336"/>
      <c r="AW16" s="81">
        <f>IF(AV19=0,0,AW15*100/AV19)</f>
        <v>0</v>
      </c>
      <c r="AX16" s="77" t="s">
        <v>56</v>
      </c>
      <c r="AY16" s="73"/>
      <c r="AZ16" s="66"/>
      <c r="BA16" s="62"/>
      <c r="BB16" s="65"/>
      <c r="BC16" s="56"/>
      <c r="BD16" s="94"/>
      <c r="BE16" s="61"/>
      <c r="BF16" s="61"/>
      <c r="BG16" s="336" t="s">
        <v>80</v>
      </c>
      <c r="BH16" s="336"/>
      <c r="BI16" s="336"/>
      <c r="BJ16" s="81" t="e">
        <f>IF(BI19=0,0,BJ15*100/BI19)</f>
        <v>#DIV/0!</v>
      </c>
      <c r="BK16" s="77" t="s">
        <v>56</v>
      </c>
      <c r="BL16" s="74"/>
      <c r="BM16" s="56"/>
      <c r="BN16" s="56"/>
      <c r="BO16" s="75"/>
      <c r="BP16" s="56"/>
      <c r="BQ16" s="95" t="s">
        <v>123</v>
      </c>
      <c r="BR16" s="56"/>
      <c r="BS16" s="61"/>
      <c r="BT16" s="326" t="s">
        <v>77</v>
      </c>
      <c r="BU16" s="326"/>
      <c r="BV16" s="326"/>
      <c r="BW16" s="324">
        <f>IF(BR13&lt;BW14,0,BR13-BW14)</f>
        <v>0</v>
      </c>
      <c r="BX16" s="324"/>
      <c r="BY16" s="77"/>
      <c r="BZ16" s="85"/>
      <c r="CA16" s="62"/>
      <c r="CB16" s="86"/>
      <c r="CC16" s="56" t="e">
        <f>IF(#REF!="","",IF(#REF!="PF",#REF!,0))</f>
        <v>#REF!</v>
      </c>
      <c r="CD16" s="56" t="e">
        <f>IF(#REF!="","",IF(#REF!="PF",IF((#REF!+4)&lt;YEAR(#REF!),0,#REF!),0))</f>
        <v>#REF!</v>
      </c>
      <c r="CE16" s="56" t="e">
        <f>IF(#REF!="","",IF(AND(CD16&gt;0,#REF!&lt;&gt;""),CC16,0))</f>
        <v>#REF!</v>
      </c>
      <c r="CF16" s="56" t="e">
        <f>IF(#REF!="","",IF(AND($CE16&gt;0,#REF!= "GRENACHE N"),#REF!,0))</f>
        <v>#REF!</v>
      </c>
      <c r="CG16" s="56" t="e">
        <f>IF(#REF!="","",IF(AND($CE16&gt;0,#REF!="SYRAH N"),#REF!,0))</f>
        <v>#REF!</v>
      </c>
      <c r="CH16" s="56" t="e">
        <f>IF(#REF!="","",IF(AND($CE16&gt;0,#REF!="CINSAUT N"),#REF!,0))</f>
        <v>#REF!</v>
      </c>
      <c r="CI16" s="56" t="e">
        <f>IF(#REF!="","",IF(AND($CE16&gt;0,#REF!="TIBOUREN N"),#REF!,0))</f>
        <v>#REF!</v>
      </c>
      <c r="CJ16" s="56" t="e">
        <f>IF(#REF!="","",IF(AND($CE16&gt;0,#REF!="MOURVEDRE N"),#REF!,0))</f>
        <v>#REF!</v>
      </c>
      <c r="CK16" s="56" t="e">
        <f>IF(#REF!="","",IF(AND($CE16&gt;0,#REF!="CARIGNAN N"),#REF!,0))</f>
        <v>#REF!</v>
      </c>
      <c r="CL16" s="56" t="e">
        <f>IF(#REF!="","",IF(AND($CE16&gt;0,#REF!="CABERNET SAUVIGNON N"),#REF!,0))</f>
        <v>#REF!</v>
      </c>
      <c r="CM16" s="56" t="e">
        <f>IF(#REF!="","",IF(AND($CE16&gt;0,#REF!="VERMENTINO B"),#REF!,0))</f>
        <v>#REF!</v>
      </c>
      <c r="CN16" s="56" t="e">
        <f>IF(#REF!="","",IF(AND($CE16&gt;0,#REF!="UGNI BLANC B"),#REF!,0))</f>
        <v>#REF!</v>
      </c>
      <c r="CO16" s="56" t="e">
        <f>IF(#REF!="","",IF(AND($CE16&gt;0,#REF!="CLAIRETTE B"),#REF!,0))</f>
        <v>#REF!</v>
      </c>
      <c r="CP16" s="56" t="e">
        <f>IF(#REF!="","",IF(AND($CE16&gt;0,#REF!="semillon B"),#REF!,0))</f>
        <v>#REF!</v>
      </c>
      <c r="CQ16" s="56" t="e">
        <f>IF(#REF!="","",IF(CE16=0,CC16,0))</f>
        <v>#REF!</v>
      </c>
      <c r="CR16" s="56"/>
      <c r="CS16" s="56"/>
      <c r="CT16" s="56"/>
      <c r="CU16" s="56"/>
      <c r="CV16" s="61"/>
      <c r="CW16" s="89"/>
      <c r="CX16" s="89"/>
      <c r="CY16" s="89"/>
      <c r="CZ16" s="73"/>
      <c r="DA16" s="73"/>
      <c r="DB16" s="77"/>
      <c r="DC16" s="85"/>
      <c r="DD16" s="62"/>
      <c r="DE16" s="65"/>
      <c r="DF16" s="56"/>
      <c r="DG16" s="95" t="s">
        <v>123</v>
      </c>
      <c r="DH16" s="56"/>
      <c r="DI16" s="61"/>
      <c r="DJ16" s="326" t="s">
        <v>77</v>
      </c>
      <c r="DK16" s="326"/>
      <c r="DL16" s="326"/>
      <c r="DM16" s="324">
        <f>IF(DH13&lt;DM14,0,DH13-DM14)</f>
        <v>0</v>
      </c>
      <c r="DN16" s="324"/>
      <c r="DO16" s="77"/>
      <c r="DP16" s="85"/>
      <c r="DQ16" s="62"/>
      <c r="DR16" s="8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63"/>
      <c r="EU16" s="110"/>
      <c r="EV16" s="56"/>
      <c r="EW16" s="56"/>
      <c r="EX16" s="63"/>
      <c r="EY16" s="63"/>
      <c r="EZ16" s="56"/>
      <c r="FA16" s="56"/>
    </row>
    <row r="17" spans="1:157" ht="15" customHeight="1" thickBot="1" x14ac:dyDescent="0.3">
      <c r="A17" s="129" t="s">
        <v>159</v>
      </c>
      <c r="B17" s="305"/>
      <c r="C17" s="126"/>
      <c r="D17" s="321" t="s">
        <v>211</v>
      </c>
      <c r="E17" s="322"/>
      <c r="F17" s="322"/>
      <c r="G17" s="322"/>
      <c r="H17" s="322"/>
      <c r="I17" s="322"/>
      <c r="J17" s="322"/>
      <c r="K17" s="323"/>
      <c r="L17" s="103"/>
      <c r="M17" s="56"/>
      <c r="N17" s="56"/>
      <c r="O17" s="56"/>
      <c r="P17" s="56"/>
      <c r="Q17" s="56"/>
      <c r="R17" s="56"/>
      <c r="S17" s="56"/>
      <c r="T17" s="77"/>
      <c r="U17" s="74"/>
      <c r="V17" s="74"/>
      <c r="W17" s="74"/>
      <c r="X17" s="74"/>
      <c r="Y17" s="74"/>
      <c r="Z17" s="74"/>
      <c r="AA17" s="66" t="s">
        <v>181</v>
      </c>
      <c r="AB17" s="65">
        <f>B17</f>
        <v>0</v>
      </c>
      <c r="AC17" s="65"/>
      <c r="AD17" s="56"/>
      <c r="AE17" s="83" t="s">
        <v>159</v>
      </c>
      <c r="AF17" s="65"/>
      <c r="AG17" s="56"/>
      <c r="AH17" s="328" t="s">
        <v>168</v>
      </c>
      <c r="AI17" s="328"/>
      <c r="AJ17" s="328"/>
      <c r="AK17" s="324">
        <f>AP13</f>
        <v>0</v>
      </c>
      <c r="AL17" s="324"/>
      <c r="AM17" s="74" t="e">
        <f>CONCATENATE("soit ",ROUND(IF(AJ34=0,0,AK17*100/AJ34),2)," %")</f>
        <v>#VALUE!</v>
      </c>
      <c r="AN17" s="66" t="s">
        <v>181</v>
      </c>
      <c r="AO17" s="65">
        <f>AF17</f>
        <v>0</v>
      </c>
      <c r="AP17" s="56"/>
      <c r="AQ17" s="94"/>
      <c r="AR17" s="61"/>
      <c r="AS17" s="56"/>
      <c r="AT17" s="326" t="s">
        <v>77</v>
      </c>
      <c r="AU17" s="326"/>
      <c r="AV17" s="326"/>
      <c r="AW17" s="324">
        <f>IF(AR13&lt;AW15,0,AR13-AW15)</f>
        <v>0</v>
      </c>
      <c r="AX17" s="324"/>
      <c r="AY17" s="73"/>
      <c r="AZ17" s="66"/>
      <c r="BA17" s="62"/>
      <c r="BB17" s="65"/>
      <c r="BC17" s="56"/>
      <c r="BD17" s="94"/>
      <c r="BE17" s="61"/>
      <c r="BF17" s="61"/>
      <c r="BG17" s="326" t="s">
        <v>77</v>
      </c>
      <c r="BH17" s="326"/>
      <c r="BI17" s="326"/>
      <c r="BJ17" s="324" t="e">
        <f>IF(BE13&lt;BJ13,0,BE13-BJ13)</f>
        <v>#DIV/0!</v>
      </c>
      <c r="BK17" s="324"/>
      <c r="BL17" s="74" t="e">
        <f>CONCATENATE("soit ",ROUND(IF(BI19=0,0,BJ17*100/BI19),2)," %")</f>
        <v>#DIV/0!</v>
      </c>
      <c r="BM17" s="56"/>
      <c r="BN17" s="56"/>
      <c r="BO17" s="75"/>
      <c r="BP17" s="56"/>
      <c r="BQ17" s="95" t="s">
        <v>127</v>
      </c>
      <c r="BR17" s="56"/>
      <c r="BS17" s="61"/>
      <c r="BT17" s="84"/>
      <c r="BU17" s="84"/>
      <c r="BV17" s="84"/>
      <c r="BW17" s="81"/>
      <c r="BX17" s="77"/>
      <c r="BY17" s="77"/>
      <c r="BZ17" s="85"/>
      <c r="CA17" s="62"/>
      <c r="CB17" s="86"/>
      <c r="CC17" s="56" t="e">
        <f>IF(#REF!="","",IF(#REF!="PF",#REF!,0))</f>
        <v>#REF!</v>
      </c>
      <c r="CD17" s="56" t="e">
        <f>IF(#REF!="","",IF(#REF!="PF",IF((#REF!+4)&lt;YEAR(#REF!),0,#REF!),0))</f>
        <v>#REF!</v>
      </c>
      <c r="CE17" s="56" t="e">
        <f>IF(#REF!="","",IF(AND(CD17&gt;0,#REF!&lt;&gt;""),CC17,0))</f>
        <v>#REF!</v>
      </c>
      <c r="CF17" s="56" t="e">
        <f>IF(#REF!="","",IF(AND($CE17&gt;0,#REF!= "GRENACHE N"),#REF!,0))</f>
        <v>#REF!</v>
      </c>
      <c r="CG17" s="56" t="e">
        <f>IF(#REF!="","",IF(AND($CE17&gt;0,#REF!="SYRAH N"),#REF!,0))</f>
        <v>#REF!</v>
      </c>
      <c r="CH17" s="56" t="e">
        <f>IF(#REF!="","",IF(AND($CE17&gt;0,#REF!="CINSAUT N"),#REF!,0))</f>
        <v>#REF!</v>
      </c>
      <c r="CI17" s="56" t="e">
        <f>IF(#REF!="","",IF(AND($CE17&gt;0,#REF!="TIBOUREN N"),#REF!,0))</f>
        <v>#REF!</v>
      </c>
      <c r="CJ17" s="56" t="e">
        <f>IF(#REF!="","",IF(AND($CE17&gt;0,#REF!="MOURVEDRE N"),#REF!,0))</f>
        <v>#REF!</v>
      </c>
      <c r="CK17" s="56" t="e">
        <f>IF(#REF!="","",IF(AND($CE17&gt;0,#REF!="CARIGNAN N"),#REF!,0))</f>
        <v>#REF!</v>
      </c>
      <c r="CL17" s="56" t="e">
        <f>IF(#REF!="","",IF(AND($CE17&gt;0,#REF!="CABERNET SAUVIGNON N"),#REF!,0))</f>
        <v>#REF!</v>
      </c>
      <c r="CM17" s="56" t="e">
        <f>IF(#REF!="","",IF(AND($CE17&gt;0,#REF!="VERMENTINO B"),#REF!,0))</f>
        <v>#REF!</v>
      </c>
      <c r="CN17" s="56" t="e">
        <f>IF(#REF!="","",IF(AND($CE17&gt;0,#REF!="UGNI BLANC B"),#REF!,0))</f>
        <v>#REF!</v>
      </c>
      <c r="CO17" s="56" t="e">
        <f>IF(#REF!="","",IF(AND($CE17&gt;0,#REF!="CLAIRETTE B"),#REF!,0))</f>
        <v>#REF!</v>
      </c>
      <c r="CP17" s="56" t="e">
        <f>IF(#REF!="","",IF(AND($CE17&gt;0,#REF!="semillon B"),#REF!,0))</f>
        <v>#REF!</v>
      </c>
      <c r="CQ17" s="56" t="e">
        <f>IF(#REF!="","",IF(CE17=0,CC17,0))</f>
        <v>#REF!</v>
      </c>
      <c r="CR17" s="56"/>
      <c r="CS17" s="56"/>
      <c r="CT17" s="394" t="s">
        <v>147</v>
      </c>
      <c r="CU17" s="394"/>
      <c r="CV17" s="394"/>
      <c r="CW17" s="394"/>
      <c r="CX17" s="394"/>
      <c r="CY17" s="393">
        <f>CZ9+CZ13</f>
        <v>0</v>
      </c>
      <c r="CZ17" s="393"/>
      <c r="DA17" s="393"/>
      <c r="DB17" s="77"/>
      <c r="DC17" s="85"/>
      <c r="DD17" s="62"/>
      <c r="DE17" s="65"/>
      <c r="DF17" s="56"/>
      <c r="DG17" s="95" t="s">
        <v>127</v>
      </c>
      <c r="DH17" s="56"/>
      <c r="DI17" s="61"/>
      <c r="DJ17" s="84"/>
      <c r="DK17" s="84"/>
      <c r="DL17" s="84"/>
      <c r="DM17" s="81"/>
      <c r="DN17" s="77"/>
      <c r="DO17" s="77"/>
      <c r="DP17" s="85"/>
      <c r="DQ17" s="62"/>
      <c r="DR17" s="8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63"/>
      <c r="EU17" s="110"/>
      <c r="EV17" s="56"/>
      <c r="EW17" s="56"/>
      <c r="EX17" s="63"/>
      <c r="EY17" s="63"/>
      <c r="EZ17" s="56"/>
      <c r="FA17" s="56"/>
    </row>
    <row r="18" spans="1:157" ht="15" customHeight="1" thickBot="1" x14ac:dyDescent="0.3">
      <c r="A18" s="129" t="s">
        <v>160</v>
      </c>
      <c r="B18" s="305"/>
      <c r="C18" s="126"/>
      <c r="D18" s="263"/>
      <c r="E18" s="120"/>
      <c r="F18" s="120"/>
      <c r="G18" s="120"/>
      <c r="H18" s="120"/>
      <c r="I18" s="120"/>
      <c r="J18" s="120"/>
      <c r="K18" s="264"/>
      <c r="L18" s="113"/>
      <c r="M18" s="56"/>
      <c r="N18" s="56"/>
      <c r="O18" s="328" t="s">
        <v>174</v>
      </c>
      <c r="P18" s="328"/>
      <c r="Q18" s="328"/>
      <c r="R18" s="324">
        <f>AB25</f>
        <v>0</v>
      </c>
      <c r="S18" s="324"/>
      <c r="T18" s="74" t="e">
        <f>CONCATENATE("soit ",ROUND(IF(I12=0,0,R18*100/I12),2)," %")</f>
        <v>#VALUE!</v>
      </c>
      <c r="U18" s="73"/>
      <c r="V18" s="73"/>
      <c r="W18" s="73"/>
      <c r="X18" s="73"/>
      <c r="Y18" s="73"/>
      <c r="Z18" s="73"/>
      <c r="AA18" s="66" t="s">
        <v>182</v>
      </c>
      <c r="AB18" s="65">
        <f>IF(AB17=0,0,IF(R6*100/(B34)&gt;70,(R6*10)/(R6*100/B34),AB16))</f>
        <v>0</v>
      </c>
      <c r="AC18" s="65"/>
      <c r="AD18" s="56"/>
      <c r="AE18" s="83" t="s">
        <v>160</v>
      </c>
      <c r="AF18" s="65"/>
      <c r="AG18" s="56"/>
      <c r="AH18" s="326" t="s">
        <v>170</v>
      </c>
      <c r="AI18" s="326"/>
      <c r="AJ18" s="326"/>
      <c r="AK18" s="324">
        <f>IF(AF18&lt;AK17,0,AF18-AK17)</f>
        <v>0</v>
      </c>
      <c r="AL18" s="324"/>
      <c r="AM18" s="73"/>
      <c r="AN18" s="66" t="s">
        <v>182</v>
      </c>
      <c r="AO18" s="65">
        <f>IF(AO17=0,0,IF(AK11*100/(AF32)&gt;70,(AK11*10)/(AK11*100/AF32),AO16))</f>
        <v>0</v>
      </c>
      <c r="AP18" s="56"/>
      <c r="AQ18" s="94"/>
      <c r="AR18" s="61"/>
      <c r="AS18" s="56"/>
      <c r="AT18" s="89"/>
      <c r="AU18" s="89"/>
      <c r="AV18" s="89"/>
      <c r="AW18" s="73"/>
      <c r="AX18" s="73"/>
      <c r="AY18" s="73"/>
      <c r="AZ18" s="66"/>
      <c r="BA18" s="62"/>
      <c r="BB18" s="65"/>
      <c r="BC18" s="56"/>
      <c r="BD18" s="94"/>
      <c r="BE18" s="61"/>
      <c r="BF18" s="61"/>
      <c r="BG18" s="84"/>
      <c r="BH18" s="84"/>
      <c r="BI18" s="84"/>
      <c r="BJ18" s="81"/>
      <c r="BK18" s="77"/>
      <c r="BL18" s="77"/>
      <c r="BM18" s="56"/>
      <c r="BN18" s="56"/>
      <c r="BO18" s="75"/>
      <c r="BP18" s="56"/>
      <c r="BQ18" s="95" t="s">
        <v>82</v>
      </c>
      <c r="BR18" s="56"/>
      <c r="BS18" s="61"/>
      <c r="BT18" s="328" t="s">
        <v>83</v>
      </c>
      <c r="BU18" s="328"/>
      <c r="BV18" s="328"/>
      <c r="BW18" s="324">
        <f>IF(OR(CB31&gt;CB30,CB31=CB30),CB32,CB51)</f>
        <v>0</v>
      </c>
      <c r="BX18" s="324"/>
      <c r="BY18" s="77"/>
      <c r="BZ18" s="85"/>
      <c r="CA18" s="62"/>
      <c r="CB18" s="86"/>
      <c r="CC18" s="56" t="e">
        <f>IF(#REF!="","",IF(#REF!="PF",#REF!,0))</f>
        <v>#REF!</v>
      </c>
      <c r="CD18" s="56" t="e">
        <f>IF(#REF!="","",IF(#REF!="PF",IF((#REF!+4)&lt;YEAR(#REF!),0,#REF!),0))</f>
        <v>#REF!</v>
      </c>
      <c r="CE18" s="56" t="e">
        <f>IF(#REF!="","",IF(AND(CD18&gt;0,#REF!&lt;&gt;""),CC18,0))</f>
        <v>#REF!</v>
      </c>
      <c r="CF18" s="56" t="e">
        <f>IF(#REF!="","",IF(AND($CE18&gt;0,#REF!= "GRENACHE N"),#REF!,0))</f>
        <v>#REF!</v>
      </c>
      <c r="CG18" s="56" t="e">
        <f>IF(#REF!="","",IF(AND($CE18&gt;0,#REF!="SYRAH N"),#REF!,0))</f>
        <v>#REF!</v>
      </c>
      <c r="CH18" s="56" t="e">
        <f>IF(#REF!="","",IF(AND($CE18&gt;0,#REF!="CINSAUT N"),#REF!,0))</f>
        <v>#REF!</v>
      </c>
      <c r="CI18" s="56" t="e">
        <f>IF(#REF!="","",IF(AND($CE18&gt;0,#REF!="TIBOUREN N"),#REF!,0))</f>
        <v>#REF!</v>
      </c>
      <c r="CJ18" s="56" t="e">
        <f>IF(#REF!="","",IF(AND($CE18&gt;0,#REF!="MOURVEDRE N"),#REF!,0))</f>
        <v>#REF!</v>
      </c>
      <c r="CK18" s="56" t="e">
        <f>IF(#REF!="","",IF(AND($CE18&gt;0,#REF!="CARIGNAN N"),#REF!,0))</f>
        <v>#REF!</v>
      </c>
      <c r="CL18" s="56" t="e">
        <f>IF(#REF!="","",IF(AND($CE18&gt;0,#REF!="CABERNET SAUVIGNON N"),#REF!,0))</f>
        <v>#REF!</v>
      </c>
      <c r="CM18" s="56" t="e">
        <f>IF(#REF!="","",IF(AND($CE18&gt;0,#REF!="VERMENTINO B"),#REF!,0))</f>
        <v>#REF!</v>
      </c>
      <c r="CN18" s="56" t="e">
        <f>IF(#REF!="","",IF(AND($CE18&gt;0,#REF!="UGNI BLANC B"),#REF!,0))</f>
        <v>#REF!</v>
      </c>
      <c r="CO18" s="56" t="e">
        <f>IF(#REF!="","",IF(AND($CE18&gt;0,#REF!="CLAIRETTE B"),#REF!,0))</f>
        <v>#REF!</v>
      </c>
      <c r="CP18" s="56" t="e">
        <f>IF(#REF!="","",IF(AND($CE18&gt;0,#REF!="semillon B"),#REF!,0))</f>
        <v>#REF!</v>
      </c>
      <c r="CQ18" s="56" t="e">
        <f>IF(#REF!="","",IF(CE18=0,CC18,0))</f>
        <v>#REF!</v>
      </c>
      <c r="CR18" s="56"/>
      <c r="CS18" s="56"/>
      <c r="CT18" s="331" t="s">
        <v>148</v>
      </c>
      <c r="CU18" s="331"/>
      <c r="CV18" s="331"/>
      <c r="CW18" s="331"/>
      <c r="CX18" s="331"/>
      <c r="CY18" s="330">
        <f>CZ11+CZ15</f>
        <v>0</v>
      </c>
      <c r="CZ18" s="330"/>
      <c r="DA18" s="330"/>
      <c r="DB18" s="77"/>
      <c r="DC18" s="85"/>
      <c r="DD18" s="62"/>
      <c r="DE18" s="65"/>
      <c r="DF18" s="56"/>
      <c r="DG18" s="95" t="s">
        <v>82</v>
      </c>
      <c r="DH18" s="56"/>
      <c r="DI18" s="61"/>
      <c r="DJ18" s="328" t="s">
        <v>83</v>
      </c>
      <c r="DK18" s="328"/>
      <c r="DL18" s="328"/>
      <c r="DM18" s="324">
        <f>IF(OR(DR31&gt;DR30,DR31=DR30),DR32,DR40)</f>
        <v>0</v>
      </c>
      <c r="DN18" s="324"/>
      <c r="DO18" s="77"/>
      <c r="DP18" s="85"/>
      <c r="DQ18" s="62"/>
      <c r="DR18" s="8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63"/>
      <c r="EU18" s="110"/>
      <c r="EV18" s="56"/>
      <c r="EW18" s="56"/>
      <c r="EX18" s="63"/>
      <c r="EY18" s="63"/>
      <c r="EZ18" s="56"/>
      <c r="FA18" s="56"/>
    </row>
    <row r="19" spans="1:157" ht="15" customHeight="1" thickBot="1" x14ac:dyDescent="0.3">
      <c r="A19" s="130" t="s">
        <v>173</v>
      </c>
      <c r="B19" s="124">
        <f>SUM(B17:B18)</f>
        <v>0</v>
      </c>
      <c r="C19" s="126"/>
      <c r="D19" s="424" t="s">
        <v>132</v>
      </c>
      <c r="E19" s="425"/>
      <c r="F19" s="425"/>
      <c r="G19" s="425"/>
      <c r="H19" s="425"/>
      <c r="I19" s="428" t="str">
        <f>IF(B34&lt;=1.5,"Voir cas &lt;1,5 ha",R29+R30)</f>
        <v>Voir cas &lt;1,5 ha</v>
      </c>
      <c r="J19" s="428"/>
      <c r="K19" s="429"/>
      <c r="L19" s="103"/>
      <c r="M19" s="56"/>
      <c r="N19" s="56"/>
      <c r="O19" s="326" t="s">
        <v>175</v>
      </c>
      <c r="P19" s="326"/>
      <c r="Q19" s="326"/>
      <c r="R19" s="324">
        <f>IF(B26&lt;R18,0,B26-R18)</f>
        <v>0</v>
      </c>
      <c r="S19" s="324"/>
      <c r="T19" s="73"/>
      <c r="U19" s="77"/>
      <c r="V19" s="77"/>
      <c r="W19" s="77"/>
      <c r="X19" s="77"/>
      <c r="Y19" s="77"/>
      <c r="Z19" s="77"/>
      <c r="AA19" s="66" t="s">
        <v>183</v>
      </c>
      <c r="AB19" s="75">
        <f>IF(B17&gt;AB18,AB18,B17)</f>
        <v>0</v>
      </c>
      <c r="AC19" s="65"/>
      <c r="AD19" s="56"/>
      <c r="AE19" s="88" t="s">
        <v>173</v>
      </c>
      <c r="AF19" s="77">
        <f>SUM(AF17:AF18)</f>
        <v>0</v>
      </c>
      <c r="AG19" s="56"/>
      <c r="AH19" s="56"/>
      <c r="AI19" s="56"/>
      <c r="AJ19" s="56"/>
      <c r="AK19" s="56"/>
      <c r="AL19" s="56"/>
      <c r="AM19" s="77"/>
      <c r="AN19" s="66" t="s">
        <v>183</v>
      </c>
      <c r="AO19" s="75">
        <f>IF(AF17&gt;AO18,AO18,AF17)</f>
        <v>0</v>
      </c>
      <c r="AP19" s="56"/>
      <c r="AQ19" s="394" t="s">
        <v>134</v>
      </c>
      <c r="AR19" s="394"/>
      <c r="AS19" s="394"/>
      <c r="AT19" s="394"/>
      <c r="AU19" s="394"/>
      <c r="AV19" s="393">
        <f>AW11+AW15</f>
        <v>0</v>
      </c>
      <c r="AW19" s="393"/>
      <c r="AX19" s="393"/>
      <c r="AY19" s="73"/>
      <c r="AZ19" s="66"/>
      <c r="BA19" s="62"/>
      <c r="BB19" s="65"/>
      <c r="BC19" s="56"/>
      <c r="BD19" s="394" t="s">
        <v>133</v>
      </c>
      <c r="BE19" s="394"/>
      <c r="BF19" s="394"/>
      <c r="BG19" s="394"/>
      <c r="BH19" s="394"/>
      <c r="BI19" s="393" t="e">
        <f>BJ10+BJ13</f>
        <v>#DIV/0!</v>
      </c>
      <c r="BJ19" s="393"/>
      <c r="BK19" s="393"/>
      <c r="BL19" s="57" t="e">
        <f>(BJ10+BJ13)*100/BI19</f>
        <v>#DIV/0!</v>
      </c>
      <c r="BM19" s="56"/>
      <c r="BN19" s="56"/>
      <c r="BO19" s="75"/>
      <c r="BP19" s="56"/>
      <c r="BQ19" s="96" t="s">
        <v>85</v>
      </c>
      <c r="BR19" s="61">
        <f>SUM(BR15:BR18)</f>
        <v>0</v>
      </c>
      <c r="BS19" s="61"/>
      <c r="BT19" s="336" t="s">
        <v>74</v>
      </c>
      <c r="BU19" s="336"/>
      <c r="BV19" s="336"/>
      <c r="BW19" s="81">
        <f>IF(BV24=0,0,BW18*100/BV24)</f>
        <v>0</v>
      </c>
      <c r="BX19" s="77" t="s">
        <v>56</v>
      </c>
      <c r="BY19" s="77"/>
      <c r="BZ19" s="85"/>
      <c r="CA19" s="62"/>
      <c r="CB19" s="86"/>
      <c r="CC19" s="56" t="e">
        <f>IF(#REF!="","",IF(#REF!="PF",#REF!,0))</f>
        <v>#REF!</v>
      </c>
      <c r="CD19" s="56" t="e">
        <f>IF(#REF!="","",IF(#REF!="PF",IF((#REF!+4)&lt;YEAR(#REF!),0,#REF!),0))</f>
        <v>#REF!</v>
      </c>
      <c r="CE19" s="56" t="e">
        <f>IF(#REF!="","",IF(AND(CD19&gt;0,#REF!&lt;&gt;""),CC19,0))</f>
        <v>#REF!</v>
      </c>
      <c r="CF19" s="56" t="e">
        <f>IF(#REF!="","",IF(AND($CE19&gt;0,#REF!= "GRENACHE N"),#REF!,0))</f>
        <v>#REF!</v>
      </c>
      <c r="CG19" s="56" t="e">
        <f>IF(#REF!="","",IF(AND($CE19&gt;0,#REF!="SYRAH N"),#REF!,0))</f>
        <v>#REF!</v>
      </c>
      <c r="CH19" s="56" t="e">
        <f>IF(#REF!="","",IF(AND($CE19&gt;0,#REF!="CINSAUT N"),#REF!,0))</f>
        <v>#REF!</v>
      </c>
      <c r="CI19" s="56" t="e">
        <f>IF(#REF!="","",IF(AND($CE19&gt;0,#REF!="TIBOUREN N"),#REF!,0))</f>
        <v>#REF!</v>
      </c>
      <c r="CJ19" s="56" t="e">
        <f>IF(#REF!="","",IF(AND($CE19&gt;0,#REF!="MOURVEDRE N"),#REF!,0))</f>
        <v>#REF!</v>
      </c>
      <c r="CK19" s="56" t="e">
        <f>IF(#REF!="","",IF(AND($CE19&gt;0,#REF!="CARIGNAN N"),#REF!,0))</f>
        <v>#REF!</v>
      </c>
      <c r="CL19" s="56" t="e">
        <f>IF(#REF!="","",IF(AND($CE19&gt;0,#REF!="CABERNET SAUVIGNON N"),#REF!,0))</f>
        <v>#REF!</v>
      </c>
      <c r="CM19" s="56" t="e">
        <f>IF(#REF!="","",IF(AND($CE19&gt;0,#REF!="VERMENTINO B"),#REF!,0))</f>
        <v>#REF!</v>
      </c>
      <c r="CN19" s="56" t="e">
        <f>IF(#REF!="","",IF(AND($CE19&gt;0,#REF!="UGNI BLANC B"),#REF!,0))</f>
        <v>#REF!</v>
      </c>
      <c r="CO19" s="56" t="e">
        <f>IF(#REF!="","",IF(AND($CE19&gt;0,#REF!="CLAIRETTE B"),#REF!,0))</f>
        <v>#REF!</v>
      </c>
      <c r="CP19" s="56" t="e">
        <f>IF(#REF!="","",IF(AND($CE19&gt;0,#REF!="semillon B"),#REF!,0))</f>
        <v>#REF!</v>
      </c>
      <c r="CQ19" s="56" t="e">
        <f>IF(#REF!="","",IF(CE19=0,CC19,0))</f>
        <v>#REF!</v>
      </c>
      <c r="CR19" s="56"/>
      <c r="CS19" s="56"/>
      <c r="CT19" s="56"/>
      <c r="CU19" s="56"/>
      <c r="CV19" s="61"/>
      <c r="CW19" s="89"/>
      <c r="CX19" s="89"/>
      <c r="CY19" s="89"/>
      <c r="CZ19" s="73"/>
      <c r="DA19" s="73"/>
      <c r="DB19" s="77"/>
      <c r="DC19" s="85"/>
      <c r="DD19" s="62"/>
      <c r="DE19" s="65"/>
      <c r="DF19" s="56"/>
      <c r="DG19" s="96" t="s">
        <v>85</v>
      </c>
      <c r="DH19" s="61">
        <f>SUM(DH15:DH18)</f>
        <v>0</v>
      </c>
      <c r="DI19" s="61"/>
      <c r="DJ19" s="336" t="s">
        <v>74</v>
      </c>
      <c r="DK19" s="336"/>
      <c r="DL19" s="336"/>
      <c r="DM19" s="81">
        <f>IF(DL24=0,0,DM18*100/DL24)</f>
        <v>0</v>
      </c>
      <c r="DN19" s="77" t="s">
        <v>56</v>
      </c>
      <c r="DO19" s="77"/>
      <c r="DP19" s="85"/>
      <c r="DQ19" s="62"/>
      <c r="DR19" s="8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63"/>
      <c r="EU19" s="111"/>
      <c r="EV19" s="112"/>
      <c r="EW19" s="112"/>
      <c r="EX19" s="148"/>
      <c r="EY19" s="63"/>
      <c r="EZ19" s="56"/>
      <c r="FA19" s="56"/>
    </row>
    <row r="20" spans="1:157" ht="15" customHeight="1" thickBot="1" x14ac:dyDescent="0.3">
      <c r="A20" s="120"/>
      <c r="B20" s="120"/>
      <c r="C20" s="63"/>
      <c r="D20" s="426" t="s">
        <v>206</v>
      </c>
      <c r="E20" s="427"/>
      <c r="F20" s="427"/>
      <c r="G20" s="427"/>
      <c r="H20" s="427"/>
      <c r="I20" s="430" t="str">
        <f>IF(B34&lt;=1.5,"Voir cas &lt;1,5 ha",P41-R30)</f>
        <v>Voir cas &lt;1,5 ha</v>
      </c>
      <c r="J20" s="430"/>
      <c r="K20" s="431"/>
      <c r="L20" s="103"/>
      <c r="M20" s="56"/>
      <c r="N20" s="56"/>
      <c r="O20" s="56"/>
      <c r="P20" s="56"/>
      <c r="Q20" s="56"/>
      <c r="R20" s="56"/>
      <c r="S20" s="56"/>
      <c r="T20" s="73"/>
      <c r="U20" s="74"/>
      <c r="V20" s="74"/>
      <c r="W20" s="74"/>
      <c r="X20" s="74"/>
      <c r="Y20" s="74"/>
      <c r="Z20" s="74"/>
      <c r="AA20" s="56"/>
      <c r="AB20" s="65"/>
      <c r="AC20" s="65"/>
      <c r="AD20" s="56"/>
      <c r="AE20" s="83" t="s">
        <v>161</v>
      </c>
      <c r="AF20" s="65"/>
      <c r="AG20" s="56"/>
      <c r="AH20" s="328" t="s">
        <v>169</v>
      </c>
      <c r="AI20" s="328"/>
      <c r="AJ20" s="328"/>
      <c r="AK20" s="324">
        <f>AP19</f>
        <v>0</v>
      </c>
      <c r="AL20" s="324"/>
      <c r="AM20" s="74" t="e">
        <f>CONCATENATE("soit ",ROUND(IF(AJ34=0,0,AK20*100/AJ34),2)," %")</f>
        <v>#VALUE!</v>
      </c>
      <c r="AN20" s="56"/>
      <c r="AO20" s="65"/>
      <c r="AP20" s="56"/>
      <c r="AQ20" s="331" t="s">
        <v>135</v>
      </c>
      <c r="AR20" s="331"/>
      <c r="AS20" s="331"/>
      <c r="AT20" s="331"/>
      <c r="AU20" s="331"/>
      <c r="AV20" s="330">
        <f>AW13+AW17</f>
        <v>0</v>
      </c>
      <c r="AW20" s="330"/>
      <c r="AX20" s="330"/>
      <c r="AY20" s="73"/>
      <c r="AZ20" s="66"/>
      <c r="BA20" s="62"/>
      <c r="BB20" s="65"/>
      <c r="BC20" s="56"/>
      <c r="BD20" s="331" t="s">
        <v>140</v>
      </c>
      <c r="BE20" s="331"/>
      <c r="BF20" s="331"/>
      <c r="BG20" s="331"/>
      <c r="BH20" s="331"/>
      <c r="BI20" s="330" t="e">
        <f>BJ11+BJ17</f>
        <v>#DIV/0!</v>
      </c>
      <c r="BJ20" s="330"/>
      <c r="BK20" s="330"/>
      <c r="BL20" s="97"/>
      <c r="BM20" s="56"/>
      <c r="BN20" s="56"/>
      <c r="BO20" s="75"/>
      <c r="BP20" s="56"/>
      <c r="BQ20" s="91" t="s">
        <v>73</v>
      </c>
      <c r="BR20" s="92">
        <f>BR19+BR13+BR8</f>
        <v>150</v>
      </c>
      <c r="BS20" s="61"/>
      <c r="BT20" s="336" t="s">
        <v>87</v>
      </c>
      <c r="BU20" s="336"/>
      <c r="BV20" s="336"/>
      <c r="BW20" s="324">
        <f>IF(OR(CB31&gt;CB30,CB31=CB30),CB29,CB36)</f>
        <v>0</v>
      </c>
      <c r="BX20" s="324"/>
      <c r="BY20" s="77"/>
      <c r="BZ20" s="85"/>
      <c r="CA20" s="62"/>
      <c r="CB20" s="86"/>
      <c r="CC20" s="56" t="e">
        <f>IF(#REF!="","",IF(#REF!="PF",#REF!,0))</f>
        <v>#REF!</v>
      </c>
      <c r="CD20" s="56" t="e">
        <f>IF(#REF!="","",IF(#REF!="PF",IF((#REF!+4)&lt;YEAR(#REF!),0,#REF!),0))</f>
        <v>#REF!</v>
      </c>
      <c r="CE20" s="56" t="e">
        <f>IF(#REF!="","",IF(AND(CD20&gt;0,#REF!&lt;&gt;""),CC20,0))</f>
        <v>#REF!</v>
      </c>
      <c r="CF20" s="56" t="e">
        <f>IF(#REF!="","",IF(AND($CE20&gt;0,#REF!= "GRENACHE N"),#REF!,0))</f>
        <v>#REF!</v>
      </c>
      <c r="CG20" s="56" t="e">
        <f>IF(#REF!="","",IF(AND($CE20&gt;0,#REF!="SYRAH N"),#REF!,0))</f>
        <v>#REF!</v>
      </c>
      <c r="CH20" s="56" t="e">
        <f>IF(#REF!="","",IF(AND($CE20&gt;0,#REF!="CINSAUT N"),#REF!,0))</f>
        <v>#REF!</v>
      </c>
      <c r="CI20" s="56" t="e">
        <f>IF(#REF!="","",IF(AND($CE20&gt;0,#REF!="TIBOUREN N"),#REF!,0))</f>
        <v>#REF!</v>
      </c>
      <c r="CJ20" s="56" t="e">
        <f>IF(#REF!="","",IF(AND($CE20&gt;0,#REF!="MOURVEDRE N"),#REF!,0))</f>
        <v>#REF!</v>
      </c>
      <c r="CK20" s="56" t="e">
        <f>IF(#REF!="","",IF(AND($CE20&gt;0,#REF!="CARIGNAN N"),#REF!,0))</f>
        <v>#REF!</v>
      </c>
      <c r="CL20" s="56" t="e">
        <f>IF(#REF!="","",IF(AND($CE20&gt;0,#REF!="CABERNET SAUVIGNON N"),#REF!,0))</f>
        <v>#REF!</v>
      </c>
      <c r="CM20" s="56" t="e">
        <f>IF(#REF!="","",IF(AND($CE20&gt;0,#REF!="VERMENTINO B"),#REF!,0))</f>
        <v>#REF!</v>
      </c>
      <c r="CN20" s="56" t="e">
        <f>IF(#REF!="","",IF(AND($CE20&gt;0,#REF!="UGNI BLANC B"),#REF!,0))</f>
        <v>#REF!</v>
      </c>
      <c r="CO20" s="56" t="e">
        <f>IF(#REF!="","",IF(AND($CE20&gt;0,#REF!="CLAIRETTE B"),#REF!,0))</f>
        <v>#REF!</v>
      </c>
      <c r="CP20" s="56" t="e">
        <f>IF(#REF!="","",IF(AND($CE20&gt;0,#REF!="semillon B"),#REF!,0))</f>
        <v>#REF!</v>
      </c>
      <c r="CQ20" s="56" t="e">
        <f>IF(#REF!="","",IF(CE20=0,CC20,0))</f>
        <v>#REF!</v>
      </c>
      <c r="CR20" s="56"/>
      <c r="CS20" s="56"/>
      <c r="CT20" s="327" t="s">
        <v>199</v>
      </c>
      <c r="CU20" s="327"/>
      <c r="CV20" s="327"/>
      <c r="CW20" s="327"/>
      <c r="CX20" s="327"/>
      <c r="CY20" s="327"/>
      <c r="CZ20" s="327"/>
      <c r="DA20" s="327"/>
      <c r="DB20" s="77"/>
      <c r="DC20" s="85"/>
      <c r="DD20" s="62"/>
      <c r="DE20" s="65"/>
      <c r="DF20" s="56"/>
      <c r="DG20" s="91" t="s">
        <v>73</v>
      </c>
      <c r="DH20" s="92">
        <f>DH19+DH13+DH8</f>
        <v>0</v>
      </c>
      <c r="DI20" s="61"/>
      <c r="DJ20" s="336" t="s">
        <v>87</v>
      </c>
      <c r="DK20" s="336"/>
      <c r="DL20" s="336"/>
      <c r="DM20" s="324">
        <f>IF(OR(DR31&gt;DR30,DR31=DR30),DR29,DR36)</f>
        <v>0</v>
      </c>
      <c r="DN20" s="324"/>
      <c r="DO20" s="77"/>
      <c r="DP20" s="85"/>
      <c r="DQ20" s="62"/>
      <c r="DR20" s="8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63"/>
      <c r="EU20" s="141"/>
      <c r="EV20" s="140"/>
      <c r="EW20" s="108"/>
      <c r="EX20" s="118"/>
      <c r="EY20" s="63"/>
      <c r="EZ20" s="56"/>
      <c r="FA20" s="56"/>
    </row>
    <row r="21" spans="1:157" ht="15" customHeight="1" x14ac:dyDescent="0.25">
      <c r="A21" s="128" t="s">
        <v>161</v>
      </c>
      <c r="B21" s="304"/>
      <c r="C21" s="126"/>
      <c r="D21" s="255"/>
      <c r="E21" s="56"/>
      <c r="F21" s="56"/>
      <c r="G21" s="56"/>
      <c r="H21" s="56"/>
      <c r="I21" s="108"/>
      <c r="J21" s="108"/>
      <c r="K21" s="260"/>
      <c r="L21" s="103"/>
      <c r="M21" s="56"/>
      <c r="N21" s="56"/>
      <c r="O21" s="328" t="s">
        <v>83</v>
      </c>
      <c r="P21" s="328"/>
      <c r="Q21" s="328"/>
      <c r="R21" s="324">
        <f>IF(OR(AB38&gt;AB37,AB38=AB37),AB39,AB45)</f>
        <v>0</v>
      </c>
      <c r="S21" s="324"/>
      <c r="T21" s="77" t="e">
        <f>CONCATENATE("soit ",ROUND(IF(I12=0,0,R21*100/I12),2)," %")</f>
        <v>#VALUE!</v>
      </c>
      <c r="U21" s="73"/>
      <c r="V21" s="73"/>
      <c r="W21" s="73"/>
      <c r="X21" s="73"/>
      <c r="Y21" s="73"/>
      <c r="Z21" s="73"/>
      <c r="AA21" s="68" t="s">
        <v>189</v>
      </c>
      <c r="AB21" s="69">
        <f>IF((AB7+AB13+AB19)=AB4,0,R6*5/70)</f>
        <v>0</v>
      </c>
      <c r="AC21" s="65"/>
      <c r="AD21" s="56"/>
      <c r="AE21" s="83" t="s">
        <v>162</v>
      </c>
      <c r="AF21" s="65"/>
      <c r="AG21" s="56"/>
      <c r="AH21" s="326" t="s">
        <v>171</v>
      </c>
      <c r="AI21" s="326"/>
      <c r="AJ21" s="326"/>
      <c r="AK21" s="324">
        <f>IF(AF17&lt;AK20,0,AF17-AK20)</f>
        <v>0</v>
      </c>
      <c r="AL21" s="324"/>
      <c r="AM21" s="73"/>
      <c r="AN21" s="68" t="s">
        <v>189</v>
      </c>
      <c r="AO21" s="69">
        <f>IF((AO7+AO13+AO19)=AO4,0,AK11*5/70)</f>
        <v>0</v>
      </c>
      <c r="AP21" s="56"/>
      <c r="AQ21" s="94"/>
      <c r="AR21" s="61"/>
      <c r="AS21" s="56"/>
      <c r="AT21" s="89"/>
      <c r="AU21" s="89"/>
      <c r="AV21" s="89"/>
      <c r="AW21" s="73"/>
      <c r="AX21" s="73"/>
      <c r="AY21" s="73"/>
      <c r="AZ21" s="66"/>
      <c r="BA21" s="62"/>
      <c r="BB21" s="65"/>
      <c r="BC21" s="56"/>
      <c r="BD21" s="94"/>
      <c r="BE21" s="61"/>
      <c r="BF21" s="61"/>
      <c r="BG21" s="84"/>
      <c r="BH21" s="84"/>
      <c r="BI21" s="84"/>
      <c r="BJ21" s="81"/>
      <c r="BK21" s="77"/>
      <c r="BL21" s="77"/>
      <c r="BM21" s="56"/>
      <c r="BN21" s="56"/>
      <c r="BO21" s="75"/>
      <c r="BP21" s="56"/>
      <c r="BQ21" s="90"/>
      <c r="BR21" s="56"/>
      <c r="BS21" s="61"/>
      <c r="BT21" s="336" t="s">
        <v>80</v>
      </c>
      <c r="BU21" s="336"/>
      <c r="BV21" s="336"/>
      <c r="BW21" s="81">
        <f>IF(BV24=0,0,BW20*100/BV24)</f>
        <v>0</v>
      </c>
      <c r="BX21" s="77" t="s">
        <v>56</v>
      </c>
      <c r="BY21" s="77"/>
      <c r="BZ21" s="85"/>
      <c r="CA21" s="62"/>
      <c r="CB21" s="86"/>
      <c r="CC21" s="56" t="e">
        <f>IF(#REF!="","",IF(#REF!="PF",#REF!,0))</f>
        <v>#REF!</v>
      </c>
      <c r="CD21" s="56" t="e">
        <f>IF(#REF!="","",IF(#REF!="PF",IF((#REF!+4)&lt;YEAR(#REF!),0,#REF!),0))</f>
        <v>#REF!</v>
      </c>
      <c r="CE21" s="56" t="e">
        <f>IF(#REF!="","",IF(AND(CD21&gt;0,#REF!&lt;&gt;""),CC21,0))</f>
        <v>#REF!</v>
      </c>
      <c r="CF21" s="56" t="e">
        <f>IF(#REF!="","",IF(AND($CE21&gt;0,#REF!= "GRENACHE N"),#REF!,0))</f>
        <v>#REF!</v>
      </c>
      <c r="CG21" s="56" t="e">
        <f>IF(#REF!="","",IF(AND($CE21&gt;0,#REF!="SYRAH N"),#REF!,0))</f>
        <v>#REF!</v>
      </c>
      <c r="CH21" s="56" t="e">
        <f>IF(#REF!="","",IF(AND($CE21&gt;0,#REF!="CINSAUT N"),#REF!,0))</f>
        <v>#REF!</v>
      </c>
      <c r="CI21" s="56" t="e">
        <f>IF(#REF!="","",IF(AND($CE21&gt;0,#REF!="TIBOUREN N"),#REF!,0))</f>
        <v>#REF!</v>
      </c>
      <c r="CJ21" s="56" t="e">
        <f>IF(#REF!="","",IF(AND($CE21&gt;0,#REF!="MOURVEDRE N"),#REF!,0))</f>
        <v>#REF!</v>
      </c>
      <c r="CK21" s="56" t="e">
        <f>IF(#REF!="","",IF(AND($CE21&gt;0,#REF!="CARIGNAN N"),#REF!,0))</f>
        <v>#REF!</v>
      </c>
      <c r="CL21" s="56" t="e">
        <f>IF(#REF!="","",IF(AND($CE21&gt;0,#REF!="CABERNET SAUVIGNON N"),#REF!,0))</f>
        <v>#REF!</v>
      </c>
      <c r="CM21" s="56" t="e">
        <f>IF(#REF!="","",IF(AND($CE21&gt;0,#REF!="VERMENTINO B"),#REF!,0))</f>
        <v>#REF!</v>
      </c>
      <c r="CN21" s="56" t="e">
        <f>IF(#REF!="","",IF(AND($CE21&gt;0,#REF!="UGNI BLANC B"),#REF!,0))</f>
        <v>#REF!</v>
      </c>
      <c r="CO21" s="56" t="e">
        <f>IF(#REF!="","",IF(AND($CE21&gt;0,#REF!="CLAIRETTE B"),#REF!,0))</f>
        <v>#REF!</v>
      </c>
      <c r="CP21" s="56" t="e">
        <f>IF(#REF!="","",IF(AND($CE21&gt;0,#REF!="semillon B"),#REF!,0))</f>
        <v>#REF!</v>
      </c>
      <c r="CQ21" s="56" t="e">
        <f>IF(#REF!="","",IF(CE21=0,CC21,0))</f>
        <v>#REF!</v>
      </c>
      <c r="CR21" s="56"/>
      <c r="CS21" s="56"/>
      <c r="CT21" s="327"/>
      <c r="CU21" s="327"/>
      <c r="CV21" s="327"/>
      <c r="CW21" s="327"/>
      <c r="CX21" s="327"/>
      <c r="CY21" s="327"/>
      <c r="CZ21" s="327"/>
      <c r="DA21" s="327"/>
      <c r="DB21" s="77"/>
      <c r="DC21" s="85"/>
      <c r="DD21" s="62"/>
      <c r="DE21" s="65"/>
      <c r="DF21" s="56"/>
      <c r="DG21" s="90"/>
      <c r="DH21" s="56"/>
      <c r="DI21" s="61"/>
      <c r="DJ21" s="336" t="s">
        <v>80</v>
      </c>
      <c r="DK21" s="336"/>
      <c r="DL21" s="336"/>
      <c r="DM21" s="81">
        <f>IF(DL24=0,0,DM20*100/DL24)</f>
        <v>0</v>
      </c>
      <c r="DN21" s="77" t="s">
        <v>56</v>
      </c>
      <c r="DO21" s="77"/>
      <c r="DP21" s="85"/>
      <c r="DQ21" s="62"/>
      <c r="DR21" s="8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108"/>
      <c r="EV21" s="56"/>
      <c r="EW21" s="56"/>
      <c r="EX21" s="63"/>
      <c r="EY21" s="63"/>
      <c r="EZ21" s="56"/>
      <c r="FA21" s="56"/>
    </row>
    <row r="22" spans="1:157" ht="15.75" customHeight="1" thickBot="1" x14ac:dyDescent="0.3">
      <c r="A22" s="129" t="s">
        <v>162</v>
      </c>
      <c r="B22" s="305"/>
      <c r="C22" s="248"/>
      <c r="D22" s="265"/>
      <c r="E22" s="115"/>
      <c r="F22" s="115"/>
      <c r="G22" s="116"/>
      <c r="H22" s="116"/>
      <c r="I22" s="116"/>
      <c r="J22" s="117"/>
      <c r="K22" s="266"/>
      <c r="L22" s="103"/>
      <c r="M22" s="56"/>
      <c r="N22" s="56"/>
      <c r="O22" s="332" t="s">
        <v>87</v>
      </c>
      <c r="P22" s="332"/>
      <c r="Q22" s="332"/>
      <c r="R22" s="324">
        <f>AB42</f>
        <v>0</v>
      </c>
      <c r="S22" s="324"/>
      <c r="T22" s="74" t="e">
        <f>CONCATENATE("soit ",ROUND(IF(I12=0,0,R22*100/I12),2)," %")</f>
        <v>#VALUE!</v>
      </c>
      <c r="U22" s="77"/>
      <c r="V22" s="77"/>
      <c r="W22" s="77"/>
      <c r="X22" s="77"/>
      <c r="Y22" s="77"/>
      <c r="Z22" s="77"/>
      <c r="AA22" s="66" t="s">
        <v>188</v>
      </c>
      <c r="AB22" s="65">
        <f>IF((AB7+AB13+AB19)=AB4,0,IF((AB7+AB13+AB19)&lt;(R6*25/70),R6*5/70,IF((AB7+AB13+AB19)=(R6*25/70),R6*5/70,IF((AB7+AB13+AB19)&gt;(R6*25/70),(R6*30/70)-(AB7+AB13+AB19),0))))</f>
        <v>0</v>
      </c>
      <c r="AC22" s="65"/>
      <c r="AD22" s="56"/>
      <c r="AE22" s="83" t="s">
        <v>163</v>
      </c>
      <c r="AF22" s="65"/>
      <c r="AG22" s="61"/>
      <c r="AH22" s="56"/>
      <c r="AI22" s="56"/>
      <c r="AJ22" s="56"/>
      <c r="AK22" s="56"/>
      <c r="AL22" s="56"/>
      <c r="AM22" s="77"/>
      <c r="AN22" s="66" t="s">
        <v>188</v>
      </c>
      <c r="AO22" s="65">
        <f>IF((AO7+AO13+AO19)=AO4,0,IF((AO7+AO13+AO19)&lt;(AK11*25/70),AK11*5/70,IF((AO7+AO13+AO19)=(AK11*25/70),AK11*5/70,IF((AO7+AO13+AO19)&gt;(AK11*25/70),(AK11*30/70)-(AO7+AO13+AO19),0))))</f>
        <v>0</v>
      </c>
      <c r="AP22" s="56"/>
      <c r="AQ22" s="327" t="s">
        <v>199</v>
      </c>
      <c r="AR22" s="327"/>
      <c r="AS22" s="327"/>
      <c r="AT22" s="327"/>
      <c r="AU22" s="327"/>
      <c r="AV22" s="327"/>
      <c r="AW22" s="327"/>
      <c r="AX22" s="327"/>
      <c r="AY22" s="77"/>
      <c r="AZ22" s="66" t="s">
        <v>40</v>
      </c>
      <c r="BA22" s="62"/>
      <c r="BB22" s="65">
        <f>AR13</f>
        <v>0</v>
      </c>
      <c r="BC22" s="56"/>
      <c r="BD22" s="327" t="s">
        <v>199</v>
      </c>
      <c r="BE22" s="327"/>
      <c r="BF22" s="327"/>
      <c r="BG22" s="327"/>
      <c r="BH22" s="327"/>
      <c r="BI22" s="327"/>
      <c r="BJ22" s="327"/>
      <c r="BK22" s="327"/>
      <c r="BL22" s="56"/>
      <c r="BM22" s="56"/>
      <c r="BN22" s="56"/>
      <c r="BO22" s="65"/>
      <c r="BP22" s="56"/>
      <c r="BQ22" s="56"/>
      <c r="BR22" s="56"/>
      <c r="BS22" s="98"/>
      <c r="BT22" s="377" t="s">
        <v>90</v>
      </c>
      <c r="BU22" s="377"/>
      <c r="BV22" s="377"/>
      <c r="BW22" s="324">
        <f>IF(BR19&lt;BW18,0,BR19-BW18)</f>
        <v>0</v>
      </c>
      <c r="BX22" s="324"/>
      <c r="BY22" s="73"/>
      <c r="BZ22" s="85" t="s">
        <v>71</v>
      </c>
      <c r="CA22" s="62"/>
      <c r="CB22" s="75">
        <f>IF(CB13=0,0,IF(CB15&gt;20,0.25*CB23-0.25*CB13,CB13))</f>
        <v>0</v>
      </c>
      <c r="CC22" s="56" t="e">
        <f>IF(#REF!="","",IF(#REF!="PF",#REF!,0))</f>
        <v>#REF!</v>
      </c>
      <c r="CD22" s="56" t="e">
        <f>IF(#REF!="","",IF(#REF!="PF",IF((#REF!+4)&lt;YEAR(#REF!),0,#REF!),0))</f>
        <v>#REF!</v>
      </c>
      <c r="CE22" s="56" t="e">
        <f>IF(#REF!="","",IF(AND(CD22&gt;0,#REF!&lt;&gt;""),CC22,0))</f>
        <v>#REF!</v>
      </c>
      <c r="CF22" s="56" t="e">
        <f>IF(#REF!="","",IF(AND($CE22&gt;0,#REF!= "GRENACHE N"),#REF!,0))</f>
        <v>#REF!</v>
      </c>
      <c r="CG22" s="56" t="e">
        <f>IF(#REF!="","",IF(AND($CE22&gt;0,#REF!="SYRAH N"),#REF!,0))</f>
        <v>#REF!</v>
      </c>
      <c r="CH22" s="56" t="e">
        <f>IF(#REF!="","",IF(AND($CE22&gt;0,#REF!="CINSAUT N"),#REF!,0))</f>
        <v>#REF!</v>
      </c>
      <c r="CI22" s="56" t="e">
        <f>IF(#REF!="","",IF(AND($CE22&gt;0,#REF!="TIBOUREN N"),#REF!,0))</f>
        <v>#REF!</v>
      </c>
      <c r="CJ22" s="56" t="e">
        <f>IF(#REF!="","",IF(AND($CE22&gt;0,#REF!="MOURVEDRE N"),#REF!,0))</f>
        <v>#REF!</v>
      </c>
      <c r="CK22" s="56" t="e">
        <f>IF(#REF!="","",IF(AND($CE22&gt;0,#REF!="CARIGNAN N"),#REF!,0))</f>
        <v>#REF!</v>
      </c>
      <c r="CL22" s="56" t="e">
        <f>IF(#REF!="","",IF(AND($CE22&gt;0,#REF!="CABERNET SAUVIGNON N"),#REF!,0))</f>
        <v>#REF!</v>
      </c>
      <c r="CM22" s="56" t="e">
        <f>IF(#REF!="","",IF(AND($CE22&gt;0,#REF!="VERMENTINO B"),#REF!,0))</f>
        <v>#REF!</v>
      </c>
      <c r="CN22" s="56" t="e">
        <f>IF(#REF!="","",IF(AND($CE22&gt;0,#REF!="UGNI BLANC B"),#REF!,0))</f>
        <v>#REF!</v>
      </c>
      <c r="CO22" s="56" t="e">
        <f>IF(#REF!="","",IF(AND($CE22&gt;0,#REF!="CLAIRETTE B"),#REF!,0))</f>
        <v>#REF!</v>
      </c>
      <c r="CP22" s="56" t="e">
        <f>IF(#REF!="","",IF(AND($CE22&gt;0,#REF!="semillon B"),#REF!,0))</f>
        <v>#REF!</v>
      </c>
      <c r="CQ22" s="56" t="e">
        <f>IF(#REF!="","",IF(CE22=0,CC22,0))</f>
        <v>#REF!</v>
      </c>
      <c r="CR22" s="56"/>
      <c r="CS22" s="56"/>
      <c r="CT22" s="327" t="s">
        <v>91</v>
      </c>
      <c r="CU22" s="327"/>
      <c r="CV22" s="327"/>
      <c r="CW22" s="327"/>
      <c r="CX22" s="327"/>
      <c r="CY22" s="327"/>
      <c r="CZ22" s="327"/>
      <c r="DA22" s="327"/>
      <c r="DB22" s="73"/>
      <c r="DC22" s="85"/>
      <c r="DD22" s="66"/>
      <c r="DE22" s="65"/>
      <c r="DF22" s="56"/>
      <c r="DG22" s="56"/>
      <c r="DH22" s="56"/>
      <c r="DI22" s="98"/>
      <c r="DJ22" s="377" t="s">
        <v>90</v>
      </c>
      <c r="DK22" s="377"/>
      <c r="DL22" s="377"/>
      <c r="DM22" s="324">
        <f>IF(DH19&lt;DM18,0,DH19-DM18)</f>
        <v>0</v>
      </c>
      <c r="DN22" s="324"/>
      <c r="DO22" s="73"/>
      <c r="DP22" s="85" t="s">
        <v>71</v>
      </c>
      <c r="DQ22" s="62"/>
      <c r="DR22" s="75">
        <f>IF(DR13=0,0,IF(DR15&gt;20,0.25*DR23-0.25*DR13,DR13))</f>
        <v>0</v>
      </c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63"/>
      <c r="EY22" s="63"/>
      <c r="EZ22" s="56"/>
      <c r="FA22" s="56"/>
    </row>
    <row r="23" spans="1:157" ht="17.25" customHeight="1" x14ac:dyDescent="0.25">
      <c r="A23" s="129" t="s">
        <v>163</v>
      </c>
      <c r="B23" s="305"/>
      <c r="C23" s="125"/>
      <c r="D23" s="418" t="s">
        <v>203</v>
      </c>
      <c r="E23" s="419"/>
      <c r="F23" s="419"/>
      <c r="G23" s="419"/>
      <c r="H23" s="419"/>
      <c r="I23" s="419"/>
      <c r="J23" s="419"/>
      <c r="K23" s="420"/>
      <c r="L23" s="103"/>
      <c r="M23" s="56"/>
      <c r="N23" s="56"/>
      <c r="O23" s="377" t="s">
        <v>90</v>
      </c>
      <c r="P23" s="377"/>
      <c r="Q23" s="377"/>
      <c r="R23" s="324">
        <f>IF(B32&lt;R21,0,B32-R21)</f>
        <v>0</v>
      </c>
      <c r="S23" s="324"/>
      <c r="T23" s="97"/>
      <c r="U23" s="74"/>
      <c r="V23" s="74"/>
      <c r="W23" s="74"/>
      <c r="X23" s="74"/>
      <c r="Y23" s="74"/>
      <c r="Z23" s="74"/>
      <c r="AA23" s="66" t="s">
        <v>186</v>
      </c>
      <c r="AB23" s="65">
        <f>B26</f>
        <v>0</v>
      </c>
      <c r="AC23" s="65"/>
      <c r="AD23" s="56"/>
      <c r="AE23" s="83" t="s">
        <v>164</v>
      </c>
      <c r="AF23" s="65"/>
      <c r="AG23" s="98"/>
      <c r="AH23" s="328" t="s">
        <v>174</v>
      </c>
      <c r="AI23" s="328"/>
      <c r="AJ23" s="328"/>
      <c r="AK23" s="324">
        <f>AP25</f>
        <v>0</v>
      </c>
      <c r="AL23" s="324"/>
      <c r="AM23" s="74" t="e">
        <f>CONCATENATE("soit ",ROUND(IF(AJ34=0,0,AK23*100/AJ34),2)," %")</f>
        <v>#VALUE!</v>
      </c>
      <c r="AN23" s="66" t="s">
        <v>186</v>
      </c>
      <c r="AO23" s="65">
        <f>AF25</f>
        <v>0</v>
      </c>
      <c r="AP23" s="56"/>
      <c r="AQ23" s="327"/>
      <c r="AR23" s="327"/>
      <c r="AS23" s="327"/>
      <c r="AT23" s="327"/>
      <c r="AU23" s="327"/>
      <c r="AV23" s="327"/>
      <c r="AW23" s="327"/>
      <c r="AX23" s="327"/>
      <c r="AY23" s="73"/>
      <c r="AZ23" s="66" t="s">
        <v>44</v>
      </c>
      <c r="BA23" s="62"/>
      <c r="BB23" s="65" t="e">
        <f>IF((AW11*100/AR15)&gt;80,100-(AW11*100/AR15),20)</f>
        <v>#DIV/0!</v>
      </c>
      <c r="BC23" s="56"/>
      <c r="BD23" s="327"/>
      <c r="BE23" s="327"/>
      <c r="BF23" s="327"/>
      <c r="BG23" s="327"/>
      <c r="BH23" s="327"/>
      <c r="BI23" s="327"/>
      <c r="BJ23" s="327"/>
      <c r="BK23" s="327"/>
      <c r="BL23" s="73"/>
      <c r="BM23" s="99"/>
      <c r="BN23" s="62"/>
      <c r="BO23" s="65"/>
      <c r="BP23" s="56"/>
      <c r="BQ23" s="56"/>
      <c r="BR23" s="56"/>
      <c r="BS23" s="56"/>
      <c r="BT23" s="332"/>
      <c r="BU23" s="332"/>
      <c r="BV23" s="332"/>
      <c r="BW23" s="324"/>
      <c r="BX23" s="324"/>
      <c r="BY23" s="73"/>
      <c r="BZ23" s="85" t="s">
        <v>75</v>
      </c>
      <c r="CA23" s="62"/>
      <c r="CB23" s="65">
        <f>BW10+BW14+CB13</f>
        <v>150</v>
      </c>
      <c r="CC23" s="56" t="e">
        <f>IF(#REF!="","",IF(#REF!="PF",#REF!,0))</f>
        <v>#REF!</v>
      </c>
      <c r="CD23" s="56" t="e">
        <f>IF(#REF!="","",IF(#REF!="PF",IF((#REF!+4)&lt;YEAR(#REF!),0,#REF!),0))</f>
        <v>#REF!</v>
      </c>
      <c r="CE23" s="56" t="e">
        <f>IF(#REF!="","",IF(AND(CD23&gt;0,#REF!&lt;&gt;""),CC23,0))</f>
        <v>#REF!</v>
      </c>
      <c r="CF23" s="56" t="e">
        <f>IF(#REF!="","",IF(AND($CE23&gt;0,#REF!= "GRENACHE N"),#REF!,0))</f>
        <v>#REF!</v>
      </c>
      <c r="CG23" s="56" t="e">
        <f>IF(#REF!="","",IF(AND($CE23&gt;0,#REF!="SYRAH N"),#REF!,0))</f>
        <v>#REF!</v>
      </c>
      <c r="CH23" s="56" t="e">
        <f>IF(#REF!="","",IF(AND($CE23&gt;0,#REF!="CINSAUT N"),#REF!,0))</f>
        <v>#REF!</v>
      </c>
      <c r="CI23" s="56" t="e">
        <f>IF(#REF!="","",IF(AND($CE23&gt;0,#REF!="TIBOUREN N"),#REF!,0))</f>
        <v>#REF!</v>
      </c>
      <c r="CJ23" s="56" t="e">
        <f>IF(#REF!="","",IF(AND($CE23&gt;0,#REF!="MOURVEDRE N"),#REF!,0))</f>
        <v>#REF!</v>
      </c>
      <c r="CK23" s="56" t="e">
        <f>IF(#REF!="","",IF(AND($CE23&gt;0,#REF!="CARIGNAN N"),#REF!,0))</f>
        <v>#REF!</v>
      </c>
      <c r="CL23" s="56" t="e">
        <f>IF(#REF!="","",IF(AND($CE23&gt;0,#REF!="CABERNET SAUVIGNON N"),#REF!,0))</f>
        <v>#REF!</v>
      </c>
      <c r="CM23" s="56" t="e">
        <f>IF(#REF!="","",IF(AND($CE23&gt;0,#REF!="VERMENTINO B"),#REF!,0))</f>
        <v>#REF!</v>
      </c>
      <c r="CN23" s="56" t="e">
        <f>IF(#REF!="","",IF(AND($CE23&gt;0,#REF!="UGNI BLANC B"),#REF!,0))</f>
        <v>#REF!</v>
      </c>
      <c r="CO23" s="56" t="e">
        <f>IF(#REF!="","",IF(AND($CE23&gt;0,#REF!="CLAIRETTE B"),#REF!,0))</f>
        <v>#REF!</v>
      </c>
      <c r="CP23" s="56" t="e">
        <f>IF(#REF!="","",IF(AND($CE23&gt;0,#REF!="semillon B"),#REF!,0))</f>
        <v>#REF!</v>
      </c>
      <c r="CQ23" s="56" t="e">
        <f>IF(#REF!="","",IF(CE23=0,CC23,0))</f>
        <v>#REF!</v>
      </c>
      <c r="CR23" s="56"/>
      <c r="CS23" s="56"/>
      <c r="CT23" s="339" t="s">
        <v>23</v>
      </c>
      <c r="CU23" s="329" t="s">
        <v>38</v>
      </c>
      <c r="CV23" s="329" t="s">
        <v>25</v>
      </c>
      <c r="CW23" s="329" t="s">
        <v>36</v>
      </c>
      <c r="CX23" s="329" t="s">
        <v>27</v>
      </c>
      <c r="CY23" s="329" t="s">
        <v>28</v>
      </c>
      <c r="CZ23" s="329" t="s">
        <v>29</v>
      </c>
      <c r="DA23" s="329"/>
      <c r="DB23" s="73"/>
      <c r="DC23" s="66" t="s">
        <v>39</v>
      </c>
      <c r="DD23" s="62"/>
      <c r="DE23" s="65">
        <f>CZ29*20/80</f>
        <v>0</v>
      </c>
      <c r="DF23" s="56"/>
      <c r="DG23" s="56"/>
      <c r="DH23" s="56"/>
      <c r="DI23" s="56"/>
      <c r="DJ23" s="332"/>
      <c r="DK23" s="332"/>
      <c r="DL23" s="332"/>
      <c r="DM23" s="324"/>
      <c r="DN23" s="324"/>
      <c r="DO23" s="73"/>
      <c r="DP23" s="85" t="s">
        <v>75</v>
      </c>
      <c r="DQ23" s="62"/>
      <c r="DR23" s="65">
        <f>DM10+DM14+DR13</f>
        <v>0</v>
      </c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63"/>
      <c r="EU23" s="56"/>
      <c r="EV23" s="103"/>
      <c r="EW23" s="56"/>
      <c r="EX23" s="63"/>
      <c r="EY23" s="63"/>
      <c r="EZ23" s="56"/>
      <c r="FA23" s="56"/>
    </row>
    <row r="24" spans="1:157" ht="15.75" customHeight="1" thickBot="1" x14ac:dyDescent="0.3">
      <c r="A24" s="129" t="s">
        <v>164</v>
      </c>
      <c r="B24" s="305"/>
      <c r="C24" s="126"/>
      <c r="D24" s="421"/>
      <c r="E24" s="422"/>
      <c r="F24" s="422"/>
      <c r="G24" s="422"/>
      <c r="H24" s="422"/>
      <c r="I24" s="422"/>
      <c r="J24" s="422"/>
      <c r="K24" s="423"/>
      <c r="L24" s="103"/>
      <c r="M24" s="56"/>
      <c r="N24" s="56"/>
      <c r="O24" s="84"/>
      <c r="P24" s="84"/>
      <c r="Q24" s="84"/>
      <c r="R24" s="73"/>
      <c r="S24" s="73"/>
      <c r="T24" s="57" t="e">
        <f>(R6+R9+R12+R15+R18+R21)*100/I12</f>
        <v>#VALUE!</v>
      </c>
      <c r="U24" s="73"/>
      <c r="V24" s="73"/>
      <c r="W24" s="73"/>
      <c r="X24" s="73"/>
      <c r="Y24" s="73"/>
      <c r="Z24" s="73"/>
      <c r="AA24" s="66" t="s">
        <v>187</v>
      </c>
      <c r="AB24" s="65">
        <f>IF(AB23=0,0,IF(R6*100/(B34)&gt;70,(R6*5)/(R6*100/B34),AB22))</f>
        <v>0</v>
      </c>
      <c r="AC24" s="65"/>
      <c r="AD24" s="56"/>
      <c r="AE24" s="95" t="s">
        <v>165</v>
      </c>
      <c r="AF24" s="65"/>
      <c r="AG24" s="56"/>
      <c r="AH24" s="326" t="s">
        <v>175</v>
      </c>
      <c r="AI24" s="326"/>
      <c r="AJ24" s="326"/>
      <c r="AK24" s="324">
        <f>IF(AF25&lt;AK23,0,AF25-AK23)</f>
        <v>0</v>
      </c>
      <c r="AL24" s="324"/>
      <c r="AM24" s="73"/>
      <c r="AN24" s="66" t="s">
        <v>187</v>
      </c>
      <c r="AO24" s="65">
        <f>IF(AO23=0,0,IF(AK11*100/(AF32)&gt;70,(AK11*5)/(AK11*100/AF32),AO22))</f>
        <v>0</v>
      </c>
      <c r="AP24" s="56"/>
      <c r="AQ24" s="327" t="s">
        <v>93</v>
      </c>
      <c r="AR24" s="327"/>
      <c r="AS24" s="327"/>
      <c r="AT24" s="327"/>
      <c r="AU24" s="327"/>
      <c r="AV24" s="327"/>
      <c r="AW24" s="327"/>
      <c r="AX24" s="327"/>
      <c r="AY24" s="73"/>
      <c r="AZ24" s="66" t="s">
        <v>50</v>
      </c>
      <c r="BA24" s="62"/>
      <c r="BB24" s="75">
        <f>IF(AR13&gt;BB15,BB15,AR13)</f>
        <v>0</v>
      </c>
      <c r="BC24" s="56"/>
      <c r="BD24" s="327" t="s">
        <v>94</v>
      </c>
      <c r="BE24" s="327"/>
      <c r="BF24" s="327"/>
      <c r="BG24" s="327"/>
      <c r="BH24" s="327"/>
      <c r="BI24" s="327"/>
      <c r="BJ24" s="327"/>
      <c r="BK24" s="327"/>
      <c r="BL24" s="73"/>
      <c r="BM24" s="66" t="s">
        <v>39</v>
      </c>
      <c r="BN24" s="62"/>
      <c r="BO24" s="65">
        <f>BJ30*20/80</f>
        <v>0</v>
      </c>
      <c r="BP24" s="56"/>
      <c r="BQ24" s="394" t="s">
        <v>145</v>
      </c>
      <c r="BR24" s="394"/>
      <c r="BS24" s="394"/>
      <c r="BT24" s="394"/>
      <c r="BU24" s="394"/>
      <c r="BV24" s="393">
        <f>BW10+BW14+BW18</f>
        <v>150</v>
      </c>
      <c r="BW24" s="393"/>
      <c r="BX24" s="393"/>
      <c r="BY24" s="73"/>
      <c r="BZ24" s="85" t="s">
        <v>78</v>
      </c>
      <c r="CA24" s="66"/>
      <c r="CB24" s="65">
        <f>BW10+BW14+CB22</f>
        <v>150</v>
      </c>
      <c r="CC24" s="56" t="e">
        <f>IF(#REF!="","",IF(#REF!="PF",#REF!,0))</f>
        <v>#REF!</v>
      </c>
      <c r="CD24" s="56" t="e">
        <f>IF(#REF!="","",IF(#REF!="PF",IF((#REF!+4)&lt;YEAR(#REF!),0,#REF!),0))</f>
        <v>#REF!</v>
      </c>
      <c r="CE24" s="56" t="e">
        <f>IF(#REF!="","",IF(AND(CD24&gt;0,#REF!&lt;&gt;""),CC24,0))</f>
        <v>#REF!</v>
      </c>
      <c r="CF24" s="56" t="e">
        <f>IF(#REF!="","",IF(AND($CE24&gt;0,#REF!= "GRENACHE N"),#REF!,0))</f>
        <v>#REF!</v>
      </c>
      <c r="CG24" s="56" t="e">
        <f>IF(#REF!="","",IF(AND($CE24&gt;0,#REF!="SYRAH N"),#REF!,0))</f>
        <v>#REF!</v>
      </c>
      <c r="CH24" s="56" t="e">
        <f>IF(#REF!="","",IF(AND($CE24&gt;0,#REF!="CINSAUT N"),#REF!,0))</f>
        <v>#REF!</v>
      </c>
      <c r="CI24" s="56" t="e">
        <f>IF(#REF!="","",IF(AND($CE24&gt;0,#REF!="TIBOUREN N"),#REF!,0))</f>
        <v>#REF!</v>
      </c>
      <c r="CJ24" s="56" t="e">
        <f>IF(#REF!="","",IF(AND($CE24&gt;0,#REF!="MOURVEDRE N"),#REF!,0))</f>
        <v>#REF!</v>
      </c>
      <c r="CK24" s="56" t="e">
        <f>IF(#REF!="","",IF(AND($CE24&gt;0,#REF!="CARIGNAN N"),#REF!,0))</f>
        <v>#REF!</v>
      </c>
      <c r="CL24" s="56" t="e">
        <f>IF(#REF!="","",IF(AND($CE24&gt;0,#REF!="CABERNET SAUVIGNON N"),#REF!,0))</f>
        <v>#REF!</v>
      </c>
      <c r="CM24" s="56" t="e">
        <f>IF(#REF!="","",IF(AND($CE24&gt;0,#REF!="VERMENTINO B"),#REF!,0))</f>
        <v>#REF!</v>
      </c>
      <c r="CN24" s="56" t="e">
        <f>IF(#REF!="","",IF(AND($CE24&gt;0,#REF!="UGNI BLANC B"),#REF!,0))</f>
        <v>#REF!</v>
      </c>
      <c r="CO24" s="56" t="e">
        <f>IF(#REF!="","",IF(AND($CE24&gt;0,#REF!="CLAIRETTE B"),#REF!,0))</f>
        <v>#REF!</v>
      </c>
      <c r="CP24" s="56" t="e">
        <f>IF(#REF!="","",IF(AND($CE24&gt;0,#REF!="semillon B"),#REF!,0))</f>
        <v>#REF!</v>
      </c>
      <c r="CQ24" s="56" t="e">
        <f>IF(#REF!="","",IF(CE24=0,CC24,0))</f>
        <v>#REF!</v>
      </c>
      <c r="CR24" s="56"/>
      <c r="CS24" s="56"/>
      <c r="CT24" s="339"/>
      <c r="CU24" s="329"/>
      <c r="CV24" s="329"/>
      <c r="CW24" s="329"/>
      <c r="CX24" s="329"/>
      <c r="CY24" s="329"/>
      <c r="CZ24" s="329"/>
      <c r="DA24" s="329"/>
      <c r="DB24" s="73"/>
      <c r="DC24" s="66" t="s">
        <v>40</v>
      </c>
      <c r="DD24" s="62"/>
      <c r="DE24" s="65">
        <f>CU30+CU31+CU32+CU33</f>
        <v>0</v>
      </c>
      <c r="DF24" s="56"/>
      <c r="DG24" s="394" t="s">
        <v>152</v>
      </c>
      <c r="DH24" s="394"/>
      <c r="DI24" s="394"/>
      <c r="DJ24" s="394"/>
      <c r="DK24" s="394"/>
      <c r="DL24" s="393">
        <f>DM10+DM14+DM18</f>
        <v>0</v>
      </c>
      <c r="DM24" s="393"/>
      <c r="DN24" s="393"/>
      <c r="DO24" s="73"/>
      <c r="DP24" s="85" t="s">
        <v>78</v>
      </c>
      <c r="DQ24" s="66"/>
      <c r="DR24" s="65">
        <f>DM10+DM14+DR22</f>
        <v>0</v>
      </c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63"/>
      <c r="EU24" s="56"/>
      <c r="EV24" s="103"/>
      <c r="EW24" s="56"/>
      <c r="EX24" s="63"/>
      <c r="EY24" s="63"/>
      <c r="EZ24" s="56"/>
      <c r="FA24" s="56"/>
    </row>
    <row r="25" spans="1:157" ht="16.5" customHeight="1" x14ac:dyDescent="0.25">
      <c r="A25" s="122" t="s">
        <v>165</v>
      </c>
      <c r="B25" s="306"/>
      <c r="C25" s="126"/>
      <c r="D25" s="434" t="s">
        <v>202</v>
      </c>
      <c r="E25" s="435"/>
      <c r="F25" s="435"/>
      <c r="G25" s="435"/>
      <c r="H25" s="435"/>
      <c r="I25" s="436">
        <f>IF(B34&gt;1.5,"NA",AB56+AB57)</f>
        <v>0</v>
      </c>
      <c r="J25" s="436"/>
      <c r="K25" s="437"/>
      <c r="L25" s="103"/>
      <c r="M25" s="56"/>
      <c r="N25" s="56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66" t="s">
        <v>174</v>
      </c>
      <c r="AB25" s="75">
        <f>IF(B26&gt;AB24,AB24,B26)</f>
        <v>0</v>
      </c>
      <c r="AC25" s="65"/>
      <c r="AD25" s="56"/>
      <c r="AE25" s="88" t="s">
        <v>172</v>
      </c>
      <c r="AF25" s="77">
        <f>SUM(AF20:AF24)</f>
        <v>0</v>
      </c>
      <c r="AG25" s="56"/>
      <c r="AH25" s="56"/>
      <c r="AI25" s="56"/>
      <c r="AJ25" s="56"/>
      <c r="AK25" s="56"/>
      <c r="AL25" s="56"/>
      <c r="AM25" s="73"/>
      <c r="AN25" s="66" t="s">
        <v>174</v>
      </c>
      <c r="AO25" s="75">
        <f>IF(AF25&gt;AO24,AO24,AF25)</f>
        <v>0</v>
      </c>
      <c r="AP25" s="56"/>
      <c r="AQ25" s="339" t="s">
        <v>23</v>
      </c>
      <c r="AR25" s="329" t="s">
        <v>31</v>
      </c>
      <c r="AS25" s="329" t="s">
        <v>25</v>
      </c>
      <c r="AT25" s="329" t="s">
        <v>32</v>
      </c>
      <c r="AU25" s="329" t="s">
        <v>27</v>
      </c>
      <c r="AV25" s="327"/>
      <c r="AW25" s="327"/>
      <c r="AX25" s="327"/>
      <c r="AY25" s="100"/>
      <c r="AZ25" s="85"/>
      <c r="BA25" s="66"/>
      <c r="BB25" s="65"/>
      <c r="BC25" s="56"/>
      <c r="BD25" s="339" t="s">
        <v>23</v>
      </c>
      <c r="BE25" s="329" t="s">
        <v>33</v>
      </c>
      <c r="BF25" s="329" t="s">
        <v>25</v>
      </c>
      <c r="BG25" s="329" t="s">
        <v>32</v>
      </c>
      <c r="BH25" s="329" t="s">
        <v>27</v>
      </c>
      <c r="BI25" s="329" t="s">
        <v>28</v>
      </c>
      <c r="BJ25" s="329" t="s">
        <v>29</v>
      </c>
      <c r="BK25" s="329"/>
      <c r="BL25" s="77"/>
      <c r="BM25" s="66" t="s">
        <v>40</v>
      </c>
      <c r="BN25" s="62"/>
      <c r="BO25" s="65">
        <f>BE31+BE32+BE33+BE34</f>
        <v>0</v>
      </c>
      <c r="BP25" s="56"/>
      <c r="BQ25" s="331" t="s">
        <v>146</v>
      </c>
      <c r="BR25" s="331"/>
      <c r="BS25" s="331"/>
      <c r="BT25" s="331"/>
      <c r="BU25" s="331"/>
      <c r="BV25" s="330">
        <f>BW12+BW16+BW22</f>
        <v>0</v>
      </c>
      <c r="BW25" s="330"/>
      <c r="BX25" s="330"/>
      <c r="BY25" s="77"/>
      <c r="BZ25" s="66"/>
      <c r="CA25" s="66"/>
      <c r="CB25" s="65"/>
      <c r="CC25" s="56" t="e">
        <f>IF(#REF!="","",IF(#REF!="PF",#REF!,0))</f>
        <v>#REF!</v>
      </c>
      <c r="CD25" s="56" t="e">
        <f>IF(#REF!="","",IF(#REF!="PF",IF((#REF!+4)&lt;YEAR(#REF!),0,#REF!),0))</f>
        <v>#REF!</v>
      </c>
      <c r="CE25" s="56" t="e">
        <f>IF(#REF!="","",IF(AND(CD25&gt;0,#REF!&lt;&gt;""),CC25,0))</f>
        <v>#REF!</v>
      </c>
      <c r="CF25" s="56" t="e">
        <f>IF(#REF!="","",IF(AND($CE25&gt;0,#REF!= "GRENACHE N"),#REF!,0))</f>
        <v>#REF!</v>
      </c>
      <c r="CG25" s="56" t="e">
        <f>IF(#REF!="","",IF(AND($CE25&gt;0,#REF!="SYRAH N"),#REF!,0))</f>
        <v>#REF!</v>
      </c>
      <c r="CH25" s="56" t="e">
        <f>IF(#REF!="","",IF(AND($CE25&gt;0,#REF!="CINSAUT N"),#REF!,0))</f>
        <v>#REF!</v>
      </c>
      <c r="CI25" s="56" t="e">
        <f>IF(#REF!="","",IF(AND($CE25&gt;0,#REF!="TIBOUREN N"),#REF!,0))</f>
        <v>#REF!</v>
      </c>
      <c r="CJ25" s="56" t="e">
        <f>IF(#REF!="","",IF(AND($CE25&gt;0,#REF!="MOURVEDRE N"),#REF!,0))</f>
        <v>#REF!</v>
      </c>
      <c r="CK25" s="56" t="e">
        <f>IF(#REF!="","",IF(AND($CE25&gt;0,#REF!="CARIGNAN N"),#REF!,0))</f>
        <v>#REF!</v>
      </c>
      <c r="CL25" s="56" t="e">
        <f>IF(#REF!="","",IF(AND($CE25&gt;0,#REF!="CABERNET SAUVIGNON N"),#REF!,0))</f>
        <v>#REF!</v>
      </c>
      <c r="CM25" s="56" t="e">
        <f>IF(#REF!="","",IF(AND($CE25&gt;0,#REF!="VERMENTINO B"),#REF!,0))</f>
        <v>#REF!</v>
      </c>
      <c r="CN25" s="56" t="e">
        <f>IF(#REF!="","",IF(AND($CE25&gt;0,#REF!="UGNI BLANC B"),#REF!,0))</f>
        <v>#REF!</v>
      </c>
      <c r="CO25" s="56" t="e">
        <f>IF(#REF!="","",IF(AND($CE25&gt;0,#REF!="CLAIRETTE B"),#REF!,0))</f>
        <v>#REF!</v>
      </c>
      <c r="CP25" s="56" t="e">
        <f>IF(#REF!="","",IF(AND($CE25&gt;0,#REF!="semillon B"),#REF!,0))</f>
        <v>#REF!</v>
      </c>
      <c r="CQ25" s="56" t="e">
        <f>IF(#REF!="","",IF(CE25=0,CC25,0))</f>
        <v>#REF!</v>
      </c>
      <c r="CR25" s="56"/>
      <c r="CS25" s="56"/>
      <c r="CT25" s="71" t="s">
        <v>0</v>
      </c>
      <c r="CU25" s="56"/>
      <c r="CV25" s="72">
        <f>CU25/($CU$41+0.00001)</f>
        <v>0</v>
      </c>
      <c r="CW25" s="56">
        <f>IF(CV25&lt;80%,CU25,4*(CU26+CU27))</f>
        <v>0</v>
      </c>
      <c r="CX25" s="72">
        <f>CZ25/(CY$43+0.00001)</f>
        <v>0</v>
      </c>
      <c r="CY25" s="56">
        <f>IF(OR($CW$27=$CU$28,$CW$26=$CU$28,$CW$25=$CU$28,CV25=100%),0,CW25)</f>
        <v>0</v>
      </c>
      <c r="CZ25" s="325">
        <f>CY25</f>
        <v>0</v>
      </c>
      <c r="DA25" s="325"/>
      <c r="DB25" s="77"/>
      <c r="DC25" s="66" t="s">
        <v>44</v>
      </c>
      <c r="DD25" s="62"/>
      <c r="DE25" s="65" t="e">
        <f>IF((CZ29*100/CU14)&gt;80,100-(CZ29*100/CU14),20)</f>
        <v>#DIV/0!</v>
      </c>
      <c r="DF25" s="56"/>
      <c r="DG25" s="331" t="s">
        <v>153</v>
      </c>
      <c r="DH25" s="331"/>
      <c r="DI25" s="331"/>
      <c r="DJ25" s="331"/>
      <c r="DK25" s="331"/>
      <c r="DL25" s="330">
        <f>DM12+DM16+DM22</f>
        <v>0</v>
      </c>
      <c r="DM25" s="330"/>
      <c r="DN25" s="330"/>
      <c r="DO25" s="77"/>
      <c r="DP25" s="66"/>
      <c r="DQ25" s="66"/>
      <c r="DR25" s="65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63"/>
      <c r="EU25" s="56"/>
      <c r="EV25" s="103"/>
      <c r="EW25" s="56"/>
      <c r="EX25" s="63"/>
      <c r="EY25" s="63"/>
      <c r="EZ25" s="56"/>
      <c r="FA25" s="56"/>
    </row>
    <row r="26" spans="1:157" ht="15.75" customHeight="1" thickBot="1" x14ac:dyDescent="0.3">
      <c r="A26" s="130" t="s">
        <v>172</v>
      </c>
      <c r="B26" s="124">
        <f>SUM(B21:B25)</f>
        <v>0</v>
      </c>
      <c r="C26" s="126"/>
      <c r="D26" s="414" t="s">
        <v>132</v>
      </c>
      <c r="E26" s="415"/>
      <c r="F26" s="415"/>
      <c r="G26" s="415"/>
      <c r="H26" s="415"/>
      <c r="I26" s="410">
        <f>IF(B34&gt;1.5,"NA",B32)</f>
        <v>0</v>
      </c>
      <c r="J26" s="410"/>
      <c r="K26" s="411"/>
      <c r="L26" s="103"/>
      <c r="M26" s="56"/>
      <c r="N26" s="56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85"/>
      <c r="AB26" s="65"/>
      <c r="AC26" s="65"/>
      <c r="AD26" s="56"/>
      <c r="AE26" s="56"/>
      <c r="AF26" s="56"/>
      <c r="AG26" s="56"/>
      <c r="AH26" s="328" t="s">
        <v>83</v>
      </c>
      <c r="AI26" s="328"/>
      <c r="AJ26" s="328"/>
      <c r="AK26" s="324">
        <f>IF(OR(AP38&gt;AP37,AP38=AP37),AP39,AP45)</f>
        <v>0</v>
      </c>
      <c r="AL26" s="324"/>
      <c r="AM26" s="77" t="e">
        <f>CONCATENATE("soit ",ROUND(IF(AJ34=0,0,AK26*100/AJ34),2)," %")</f>
        <v>#VALUE!</v>
      </c>
      <c r="AN26" s="85"/>
      <c r="AO26" s="65"/>
      <c r="AP26" s="56"/>
      <c r="AQ26" s="339"/>
      <c r="AR26" s="329"/>
      <c r="AS26" s="329"/>
      <c r="AT26" s="329"/>
      <c r="AU26" s="329"/>
      <c r="AV26" s="327"/>
      <c r="AW26" s="327"/>
      <c r="AX26" s="327"/>
      <c r="AY26" s="100"/>
      <c r="AZ26" s="85"/>
      <c r="BA26" s="66"/>
      <c r="BB26" s="65"/>
      <c r="BC26" s="56"/>
      <c r="BD26" s="339"/>
      <c r="BE26" s="329"/>
      <c r="BF26" s="329"/>
      <c r="BG26" s="329"/>
      <c r="BH26" s="329"/>
      <c r="BI26" s="329"/>
      <c r="BJ26" s="329"/>
      <c r="BK26" s="329"/>
      <c r="BL26" s="56"/>
      <c r="BM26" s="66" t="s">
        <v>44</v>
      </c>
      <c r="BN26" s="62"/>
      <c r="BO26" s="65" t="e">
        <f>IF((BJ30*100/BI44)&gt;80,100-(BJ30*100/BI44),20)</f>
        <v>#DIV/0!</v>
      </c>
      <c r="BP26" s="56"/>
      <c r="BQ26" s="56"/>
      <c r="BR26" s="56"/>
      <c r="BS26" s="56"/>
      <c r="BT26" s="56"/>
      <c r="BU26" s="56"/>
      <c r="BV26" s="56"/>
      <c r="BW26" s="56"/>
      <c r="BX26" s="56"/>
      <c r="BY26" s="73"/>
      <c r="BZ26" s="85" t="s">
        <v>81</v>
      </c>
      <c r="CA26" s="66"/>
      <c r="CB26" s="65">
        <f>(BR16+BR17+BR18)-(1/0.9)*(BR16+BR17+BR18)+(0.1/0.9)*(BW10+BW14+BR16+BR17+BR18+BR15)</f>
        <v>16.666666666666668</v>
      </c>
      <c r="CC26" s="56" t="e">
        <f>IF(#REF!="","",IF(#REF!="PF",#REF!,0))</f>
        <v>#REF!</v>
      </c>
      <c r="CD26" s="56" t="e">
        <f>IF(#REF!="","",IF(#REF!="PF",IF((#REF!+4)&lt;YEAR(#REF!),0,#REF!),0))</f>
        <v>#REF!</v>
      </c>
      <c r="CE26" s="56" t="e">
        <f>IF(#REF!="","",IF(AND(CD26&gt;0,#REF!&lt;&gt;""),CC26,0))</f>
        <v>#REF!</v>
      </c>
      <c r="CF26" s="56" t="e">
        <f>IF(#REF!="","",IF(AND($CE26&gt;0,#REF!= "GRENACHE N"),#REF!,0))</f>
        <v>#REF!</v>
      </c>
      <c r="CG26" s="56" t="e">
        <f>IF(#REF!="","",IF(AND($CE26&gt;0,#REF!="SYRAH N"),#REF!,0))</f>
        <v>#REF!</v>
      </c>
      <c r="CH26" s="56" t="e">
        <f>IF(#REF!="","",IF(AND($CE26&gt;0,#REF!="CINSAUT N"),#REF!,0))</f>
        <v>#REF!</v>
      </c>
      <c r="CI26" s="56" t="e">
        <f>IF(#REF!="","",IF(AND($CE26&gt;0,#REF!="TIBOUREN N"),#REF!,0))</f>
        <v>#REF!</v>
      </c>
      <c r="CJ26" s="56" t="e">
        <f>IF(#REF!="","",IF(AND($CE26&gt;0,#REF!="MOURVEDRE N"),#REF!,0))</f>
        <v>#REF!</v>
      </c>
      <c r="CK26" s="56" t="e">
        <f>IF(#REF!="","",IF(AND($CE26&gt;0,#REF!="CARIGNAN N"),#REF!,0))</f>
        <v>#REF!</v>
      </c>
      <c r="CL26" s="56" t="e">
        <f>IF(#REF!="","",IF(AND($CE26&gt;0,#REF!="CABERNET SAUVIGNON N"),#REF!,0))</f>
        <v>#REF!</v>
      </c>
      <c r="CM26" s="56" t="e">
        <f>IF(#REF!="","",IF(AND($CE26&gt;0,#REF!="VERMENTINO B"),#REF!,0))</f>
        <v>#REF!</v>
      </c>
      <c r="CN26" s="56" t="e">
        <f>IF(#REF!="","",IF(AND($CE26&gt;0,#REF!="UGNI BLANC B"),#REF!,0))</f>
        <v>#REF!</v>
      </c>
      <c r="CO26" s="56" t="e">
        <f>IF(#REF!="","",IF(AND($CE26&gt;0,#REF!="CLAIRETTE B"),#REF!,0))</f>
        <v>#REF!</v>
      </c>
      <c r="CP26" s="56" t="e">
        <f>IF(#REF!="","",IF(AND($CE26&gt;0,#REF!="semillon B"),#REF!,0))</f>
        <v>#REF!</v>
      </c>
      <c r="CQ26" s="56" t="e">
        <f>IF(#REF!="","",IF(CE26=0,CC26,0))</f>
        <v>#REF!</v>
      </c>
      <c r="CR26" s="56"/>
      <c r="CS26" s="56"/>
      <c r="CT26" s="71" t="s">
        <v>49</v>
      </c>
      <c r="CU26" s="56"/>
      <c r="CV26" s="72">
        <f>CU26/($CU$41+0.00001)</f>
        <v>0</v>
      </c>
      <c r="CW26" s="56">
        <f>IF(CV26&lt;80%,CU26,4*(CU27+CU25))</f>
        <v>0</v>
      </c>
      <c r="CX26" s="72">
        <f>CZ26/(CY$43+0.00001)</f>
        <v>0</v>
      </c>
      <c r="CY26" s="56">
        <f>IF(OR($CW$25=$CU$28,$CW$26=$CU$28,$CW$27=$CU$28,CV26=100%),0,CW26)</f>
        <v>0</v>
      </c>
      <c r="CZ26" s="325">
        <f>CY26</f>
        <v>0</v>
      </c>
      <c r="DA26" s="325"/>
      <c r="DB26" s="73"/>
      <c r="DC26" s="66" t="s">
        <v>50</v>
      </c>
      <c r="DD26" s="62"/>
      <c r="DE26" s="75">
        <f>IF(DE24&gt;DE23,DE23,DE24)</f>
        <v>0</v>
      </c>
      <c r="DF26" s="56"/>
      <c r="DG26" s="56"/>
      <c r="DH26" s="56"/>
      <c r="DI26" s="56"/>
      <c r="DJ26" s="56"/>
      <c r="DK26" s="56"/>
      <c r="DL26" s="56"/>
      <c r="DM26" s="56"/>
      <c r="DN26" s="56"/>
      <c r="DO26" s="73"/>
      <c r="DP26" s="85" t="s">
        <v>81</v>
      </c>
      <c r="DQ26" s="66"/>
      <c r="DR26" s="65">
        <f>(DH16+DH17+DH18)-(1/0.9)*(DH16+DH17+DH18)+(0.1/0.9)*(DM10+DM14+DH16+DH17+DH18+DH15)</f>
        <v>0</v>
      </c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63"/>
      <c r="EU26" s="56"/>
      <c r="EV26" s="103"/>
      <c r="EW26" s="56"/>
      <c r="EX26" s="114"/>
      <c r="EY26" s="63"/>
      <c r="EZ26" s="56"/>
      <c r="FA26" s="56"/>
    </row>
    <row r="27" spans="1:157" ht="15.75" customHeight="1" thickBot="1" x14ac:dyDescent="0.3">
      <c r="A27" s="120"/>
      <c r="B27" s="127"/>
      <c r="C27" s="63"/>
      <c r="D27" s="432" t="s">
        <v>206</v>
      </c>
      <c r="E27" s="433"/>
      <c r="F27" s="433"/>
      <c r="G27" s="433"/>
      <c r="H27" s="433"/>
      <c r="I27" s="430">
        <f>IF(B34&gt;1.5,"NA",AB58)</f>
        <v>0</v>
      </c>
      <c r="J27" s="430"/>
      <c r="K27" s="431"/>
      <c r="L27" s="103"/>
      <c r="M27" s="56"/>
      <c r="N27" s="56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66" t="s">
        <v>59</v>
      </c>
      <c r="AB27" s="65">
        <f>IF((AB7+AB13+AB19+AB25)=AB4,0,IF((AB7+AB13+AB19+AB25)&lt;(R6*10/70),R6*20/70,IF((AB7+AB13+AB19+AB25)=(R6*10/70),R6*20/70,IF((AB7+AB13+AB19+AB25)&gt;(R6*10/70),(R6*30/70)-(AB7+AB13+AB19+AB25),0))))</f>
        <v>0</v>
      </c>
      <c r="AC27" s="65"/>
      <c r="AD27" s="56"/>
      <c r="AE27" s="93" t="s">
        <v>126</v>
      </c>
      <c r="AF27" s="65"/>
      <c r="AG27" s="56"/>
      <c r="AH27" s="332" t="s">
        <v>87</v>
      </c>
      <c r="AI27" s="332"/>
      <c r="AJ27" s="332"/>
      <c r="AK27" s="324">
        <f>AP42</f>
        <v>0</v>
      </c>
      <c r="AL27" s="324"/>
      <c r="AM27" s="74" t="e">
        <f>CONCATENATE("soit ",ROUND(IF(AJ34=0,0,AK27*100/AJ34),2)," %")</f>
        <v>#VALUE!</v>
      </c>
      <c r="AN27" s="66" t="s">
        <v>59</v>
      </c>
      <c r="AO27" s="65">
        <f>IF((AO7+AO13+AO19+AO25)=AO4,0,IF((AO7+AO13+AO19+AO25)&lt;(AK11*10/70),AK11*20/70,IF((AO7+AO13+AO19+AO25)=(AK11*10/70),AK11*20/70,IF((AO7+AO13+AO19+AO25)&gt;(AK11*10/70),(AK11*30/70)-(AO7+AO13+AO19+AO25),0))))</f>
        <v>0</v>
      </c>
      <c r="AP27" s="56"/>
      <c r="AQ27" s="71" t="s">
        <v>0</v>
      </c>
      <c r="AR27" s="56">
        <f>AR5</f>
        <v>0</v>
      </c>
      <c r="AS27" s="72">
        <f>AR27/($AR$30+0.00001)</f>
        <v>0</v>
      </c>
      <c r="AT27" s="56">
        <f>IF(AS27&lt;60%,AR27,1.5*(AR28+AR29))</f>
        <v>0</v>
      </c>
      <c r="AU27" s="72">
        <f>AT27/(AV$35+0.00001)</f>
        <v>0</v>
      </c>
      <c r="AV27" s="56"/>
      <c r="AW27" s="325"/>
      <c r="AX27" s="325"/>
      <c r="AY27" s="100"/>
      <c r="AZ27" s="85"/>
      <c r="BA27" s="66"/>
      <c r="BB27" s="86"/>
      <c r="BC27" s="56"/>
      <c r="BD27" s="71" t="s">
        <v>0</v>
      </c>
      <c r="BE27" s="56"/>
      <c r="BF27" s="72">
        <f>BE27/($BE$42+0.00001)</f>
        <v>0</v>
      </c>
      <c r="BG27" s="56">
        <f>IF(BF27&lt;60%,BE27,1.5*BE28)</f>
        <v>0</v>
      </c>
      <c r="BH27" s="72">
        <f>BJ27/(BI$44+0.00001)</f>
        <v>0</v>
      </c>
      <c r="BI27" s="56">
        <f>IF(OR($BG$27=$BE$29,$BF$28=$BE$29,$BF$27=100%),0,$BG$27)</f>
        <v>0</v>
      </c>
      <c r="BJ27" s="60">
        <f>BI27</f>
        <v>0</v>
      </c>
      <c r="BK27" s="60"/>
      <c r="BL27" s="56"/>
      <c r="BM27" s="66" t="s">
        <v>50</v>
      </c>
      <c r="BN27" s="62"/>
      <c r="BO27" s="75">
        <f>IF(BO25&gt;BO24,BO24,BO25)</f>
        <v>0</v>
      </c>
      <c r="BP27" s="56"/>
      <c r="BQ27" s="327" t="s">
        <v>199</v>
      </c>
      <c r="BR27" s="327"/>
      <c r="BS27" s="327"/>
      <c r="BT27" s="327"/>
      <c r="BU27" s="327"/>
      <c r="BV27" s="327"/>
      <c r="BW27" s="327"/>
      <c r="BX27" s="327"/>
      <c r="BY27" s="77"/>
      <c r="BZ27" s="85" t="s">
        <v>84</v>
      </c>
      <c r="CA27" s="66"/>
      <c r="CB27" s="65">
        <f>IF(CB26=0,0,IF(BR16+BR17+BR18&gt;CB26,CB26,BR16+BR17+BR18))</f>
        <v>0</v>
      </c>
      <c r="CC27" s="56" t="e">
        <f>IF(#REF!="","",IF(#REF!="PF",#REF!,0))</f>
        <v>#REF!</v>
      </c>
      <c r="CD27" s="56" t="e">
        <f>IF(#REF!="","",IF(#REF!="PF",IF((#REF!+4)&lt;YEAR(#REF!),0,#REF!),0))</f>
        <v>#REF!</v>
      </c>
      <c r="CE27" s="56" t="e">
        <f>IF(#REF!="","",IF(AND(CD27&gt;0,#REF!&lt;&gt;""),CC27,0))</f>
        <v>#REF!</v>
      </c>
      <c r="CF27" s="56" t="e">
        <f>IF(#REF!="","",IF(AND($CE27&gt;0,#REF!= "GRENACHE N"),#REF!,0))</f>
        <v>#REF!</v>
      </c>
      <c r="CG27" s="56" t="e">
        <f>IF(#REF!="","",IF(AND($CE27&gt;0,#REF!="SYRAH N"),#REF!,0))</f>
        <v>#REF!</v>
      </c>
      <c r="CH27" s="56" t="e">
        <f>IF(#REF!="","",IF(AND($CE27&gt;0,#REF!="CINSAUT N"),#REF!,0))</f>
        <v>#REF!</v>
      </c>
      <c r="CI27" s="56" t="e">
        <f>IF(#REF!="","",IF(AND($CE27&gt;0,#REF!="TIBOUREN N"),#REF!,0))</f>
        <v>#REF!</v>
      </c>
      <c r="CJ27" s="56" t="e">
        <f>IF(#REF!="","",IF(AND($CE27&gt;0,#REF!="MOURVEDRE N"),#REF!,0))</f>
        <v>#REF!</v>
      </c>
      <c r="CK27" s="56" t="e">
        <f>IF(#REF!="","",IF(AND($CE27&gt;0,#REF!="CARIGNAN N"),#REF!,0))</f>
        <v>#REF!</v>
      </c>
      <c r="CL27" s="56" t="e">
        <f>IF(#REF!="","",IF(AND($CE27&gt;0,#REF!="CABERNET SAUVIGNON N"),#REF!,0))</f>
        <v>#REF!</v>
      </c>
      <c r="CM27" s="56" t="e">
        <f>IF(#REF!="","",IF(AND($CE27&gt;0,#REF!="VERMENTINO B"),#REF!,0))</f>
        <v>#REF!</v>
      </c>
      <c r="CN27" s="56" t="e">
        <f>IF(#REF!="","",IF(AND($CE27&gt;0,#REF!="UGNI BLANC B"),#REF!,0))</f>
        <v>#REF!</v>
      </c>
      <c r="CO27" s="56" t="e">
        <f>IF(#REF!="","",IF(AND($CE27&gt;0,#REF!="CLAIRETTE B"),#REF!,0))</f>
        <v>#REF!</v>
      </c>
      <c r="CP27" s="56" t="e">
        <f>IF(#REF!="","",IF(AND($CE27&gt;0,#REF!="semillon B"),#REF!,0))</f>
        <v>#REF!</v>
      </c>
      <c r="CQ27" s="56" t="e">
        <f>IF(#REF!="","",IF(CE27=0,CC27,0))</f>
        <v>#REF!</v>
      </c>
      <c r="CR27" s="56"/>
      <c r="CS27" s="56"/>
      <c r="CT27" s="71" t="s">
        <v>1</v>
      </c>
      <c r="CU27" s="56"/>
      <c r="CV27" s="72">
        <f>CU27/($CU$41+0.00001)</f>
        <v>0</v>
      </c>
      <c r="CW27" s="56">
        <f>IF(CV27&lt;80%,CU27,4*(CU26+CU25))</f>
        <v>0</v>
      </c>
      <c r="CX27" s="72">
        <f>CZ27/(CY$43+0.00001)</f>
        <v>0</v>
      </c>
      <c r="CY27" s="56">
        <f>IF(OR($CW$25=$CU$28,$CW$26=$CU$28,$CW$27=$CU$28,CV27=100%),0,CW27)</f>
        <v>0</v>
      </c>
      <c r="CZ27" s="325">
        <f>CY27</f>
        <v>0</v>
      </c>
      <c r="DA27" s="325"/>
      <c r="DB27" s="73"/>
      <c r="DC27" s="56"/>
      <c r="DD27" s="56"/>
      <c r="DE27" s="65"/>
      <c r="DF27" s="56"/>
      <c r="DG27" s="327" t="s">
        <v>199</v>
      </c>
      <c r="DH27" s="327"/>
      <c r="DI27" s="327"/>
      <c r="DJ27" s="327"/>
      <c r="DK27" s="327"/>
      <c r="DL27" s="327"/>
      <c r="DM27" s="327"/>
      <c r="DN27" s="327"/>
      <c r="DO27" s="77"/>
      <c r="DP27" s="85" t="s">
        <v>84</v>
      </c>
      <c r="DQ27" s="66"/>
      <c r="DR27" s="65">
        <f>IF(DR26=0,0,IF(DH16+DH17+DH18&gt;DR26,DR26,DH16+DH17+DH18))</f>
        <v>0</v>
      </c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63"/>
      <c r="EU27" s="56"/>
      <c r="EV27" s="103"/>
      <c r="EW27" s="63"/>
      <c r="EX27" s="63"/>
      <c r="EY27" s="63"/>
      <c r="EZ27" s="56"/>
      <c r="FA27" s="56"/>
    </row>
    <row r="28" spans="1:157" ht="15.75" customHeight="1" x14ac:dyDescent="0.25">
      <c r="A28" s="121" t="s">
        <v>126</v>
      </c>
      <c r="B28" s="307"/>
      <c r="C28" s="103"/>
      <c r="D28" s="108"/>
      <c r="E28" s="108"/>
      <c r="F28" s="108"/>
      <c r="G28" s="108"/>
      <c r="H28" s="108"/>
      <c r="I28" s="108"/>
      <c r="J28" s="108"/>
      <c r="K28" s="108"/>
      <c r="L28" s="103"/>
      <c r="M28" s="56"/>
      <c r="N28" s="56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66" t="s">
        <v>63</v>
      </c>
      <c r="AB28" s="65">
        <f>IF(AB27&lt;B30+B29+B31+B28,AB27,B30+B29+B31+B28)</f>
        <v>0</v>
      </c>
      <c r="AC28" s="65"/>
      <c r="AD28" s="56"/>
      <c r="AE28" s="95" t="s">
        <v>123</v>
      </c>
      <c r="AF28" s="65"/>
      <c r="AG28" s="56"/>
      <c r="AH28" s="377" t="s">
        <v>90</v>
      </c>
      <c r="AI28" s="377"/>
      <c r="AJ28" s="377"/>
      <c r="AK28" s="324">
        <f>IF(AF31&lt;AK26,0,AF31-AK26)</f>
        <v>0</v>
      </c>
      <c r="AL28" s="324"/>
      <c r="AM28" s="97"/>
      <c r="AN28" s="66" t="s">
        <v>63</v>
      </c>
      <c r="AO28" s="65">
        <f>IF(AO27&lt;AF29+AF28+AF30+AF27,AO27,AF29+AF28+AF30+AF27)</f>
        <v>0</v>
      </c>
      <c r="AP28" s="56"/>
      <c r="AQ28" s="71" t="s">
        <v>1</v>
      </c>
      <c r="AR28" s="56">
        <f>AR6</f>
        <v>0</v>
      </c>
      <c r="AS28" s="72">
        <f>AR28/($AR$30+0.00001)</f>
        <v>0</v>
      </c>
      <c r="AT28" s="56">
        <f>IF(AS28&lt;60%,AR28,1.5*(AR29+AR27))</f>
        <v>0</v>
      </c>
      <c r="AU28" s="72">
        <f>AT28/(AV$35+0.00001)</f>
        <v>0</v>
      </c>
      <c r="AV28" s="56"/>
      <c r="AW28" s="325"/>
      <c r="AX28" s="325"/>
      <c r="AY28" s="100"/>
      <c r="AZ28" s="85"/>
      <c r="BA28" s="66"/>
      <c r="BB28" s="86"/>
      <c r="BC28" s="56"/>
      <c r="BD28" s="71" t="s">
        <v>49</v>
      </c>
      <c r="BE28" s="56"/>
      <c r="BF28" s="72">
        <f>BE28/($BE$42+0.00001)</f>
        <v>0</v>
      </c>
      <c r="BG28" s="56">
        <f>IF(BF28&lt;60%,BE28,1.5*BE27)</f>
        <v>0</v>
      </c>
      <c r="BH28" s="72">
        <f>BJ28/(BI$44+0.00001)</f>
        <v>0</v>
      </c>
      <c r="BI28" s="56">
        <f>IF(OR($BG$27=$BE$29,$BF$28=$BE$29,$BF$28=100%),0,$BG$28)</f>
        <v>0</v>
      </c>
      <c r="BJ28" s="60">
        <f>BI28</f>
        <v>0</v>
      </c>
      <c r="BK28" s="60"/>
      <c r="BL28" s="56"/>
      <c r="BM28" s="66"/>
      <c r="BN28" s="62"/>
      <c r="BO28" s="75"/>
      <c r="BP28" s="56"/>
      <c r="BQ28" s="327"/>
      <c r="BR28" s="327"/>
      <c r="BS28" s="327"/>
      <c r="BT28" s="327"/>
      <c r="BU28" s="327"/>
      <c r="BV28" s="327"/>
      <c r="BW28" s="327"/>
      <c r="BX28" s="327"/>
      <c r="BY28" s="77"/>
      <c r="BZ28" s="85"/>
      <c r="CA28" s="66"/>
      <c r="CB28" s="65"/>
      <c r="CC28" s="56" t="e">
        <f>IF(#REF!="","",IF(#REF!="PF",#REF!,0))</f>
        <v>#REF!</v>
      </c>
      <c r="CD28" s="56" t="e">
        <f>IF(#REF!="","",IF(#REF!="PF",IF((#REF!+4)&lt;YEAR(#REF!),0,#REF!),0))</f>
        <v>#REF!</v>
      </c>
      <c r="CE28" s="56" t="e">
        <f>IF(#REF!="","",IF(AND(CD28&gt;0,#REF!&lt;&gt;""),CC28,0))</f>
        <v>#REF!</v>
      </c>
      <c r="CF28" s="56" t="e">
        <f>IF(#REF!="","",IF(AND($CE28&gt;0,#REF!= "GRENACHE N"),#REF!,0))</f>
        <v>#REF!</v>
      </c>
      <c r="CG28" s="56" t="e">
        <f>IF(#REF!="","",IF(AND($CE28&gt;0,#REF!="SYRAH N"),#REF!,0))</f>
        <v>#REF!</v>
      </c>
      <c r="CH28" s="56" t="e">
        <f>IF(#REF!="","",IF(AND($CE28&gt;0,#REF!="CINSAUT N"),#REF!,0))</f>
        <v>#REF!</v>
      </c>
      <c r="CI28" s="56" t="e">
        <f>IF(#REF!="","",IF(AND($CE28&gt;0,#REF!="TIBOUREN N"),#REF!,0))</f>
        <v>#REF!</v>
      </c>
      <c r="CJ28" s="56" t="e">
        <f>IF(#REF!="","",IF(AND($CE28&gt;0,#REF!="MOURVEDRE N"),#REF!,0))</f>
        <v>#REF!</v>
      </c>
      <c r="CK28" s="56" t="e">
        <f>IF(#REF!="","",IF(AND($CE28&gt;0,#REF!="CARIGNAN N"),#REF!,0))</f>
        <v>#REF!</v>
      </c>
      <c r="CL28" s="56" t="e">
        <f>IF(#REF!="","",IF(AND($CE28&gt;0,#REF!="CABERNET SAUVIGNON N"),#REF!,0))</f>
        <v>#REF!</v>
      </c>
      <c r="CM28" s="56" t="e">
        <f>IF(#REF!="","",IF(AND($CE28&gt;0,#REF!="VERMENTINO B"),#REF!,0))</f>
        <v>#REF!</v>
      </c>
      <c r="CN28" s="56" t="e">
        <f>IF(#REF!="","",IF(AND($CE28&gt;0,#REF!="UGNI BLANC B"),#REF!,0))</f>
        <v>#REF!</v>
      </c>
      <c r="CO28" s="56" t="e">
        <f>IF(#REF!="","",IF(AND($CE28&gt;0,#REF!="CLAIRETTE B"),#REF!,0))</f>
        <v>#REF!</v>
      </c>
      <c r="CP28" s="56" t="e">
        <f>IF(#REF!="","",IF(AND($CE28&gt;0,#REF!="semillon B"),#REF!,0))</f>
        <v>#REF!</v>
      </c>
      <c r="CQ28" s="56" t="e">
        <f>IF(#REF!="","",IF(CE28=0,CC28,0))</f>
        <v>#REF!</v>
      </c>
      <c r="CR28" s="56"/>
      <c r="CS28" s="56"/>
      <c r="CT28" s="79" t="s">
        <v>53</v>
      </c>
      <c r="CU28" s="61">
        <f>SUM(CU25:CU27)</f>
        <v>0</v>
      </c>
      <c r="CV28" s="72"/>
      <c r="CW28" s="56"/>
      <c r="CX28" s="72"/>
      <c r="CY28" s="56"/>
      <c r="CZ28" s="325"/>
      <c r="DA28" s="325"/>
      <c r="DB28" s="73"/>
      <c r="DC28" s="66" t="s">
        <v>59</v>
      </c>
      <c r="DD28" s="62"/>
      <c r="DE28" s="65">
        <f>IF(DE26=DE23,0,IF(DE26&lt;DE23,DE23-DE26,""))</f>
        <v>0</v>
      </c>
      <c r="DF28" s="56"/>
      <c r="DG28" s="327"/>
      <c r="DH28" s="327"/>
      <c r="DI28" s="327"/>
      <c r="DJ28" s="327"/>
      <c r="DK28" s="327"/>
      <c r="DL28" s="327"/>
      <c r="DM28" s="327"/>
      <c r="DN28" s="327"/>
      <c r="DO28" s="77"/>
      <c r="DP28" s="85"/>
      <c r="DQ28" s="66"/>
      <c r="DR28" s="65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63"/>
      <c r="EU28" s="56"/>
      <c r="EV28" s="103"/>
      <c r="EW28" s="63"/>
      <c r="EX28" s="63"/>
      <c r="EY28" s="63"/>
      <c r="EZ28" s="56"/>
      <c r="FA28" s="56"/>
    </row>
    <row r="29" spans="1:157" ht="15.75" customHeight="1" x14ac:dyDescent="0.25">
      <c r="A29" s="122" t="s">
        <v>123</v>
      </c>
      <c r="B29" s="306"/>
      <c r="C29" s="106"/>
      <c r="D29" s="56"/>
      <c r="E29" s="56"/>
      <c r="F29" s="56"/>
      <c r="G29" s="56"/>
      <c r="H29" s="56"/>
      <c r="I29" s="56"/>
      <c r="J29" s="56"/>
      <c r="K29" s="56"/>
      <c r="L29" s="103"/>
      <c r="M29" s="56"/>
      <c r="N29" s="56"/>
      <c r="O29" s="328" t="s">
        <v>192</v>
      </c>
      <c r="P29" s="328"/>
      <c r="Q29" s="328"/>
      <c r="R29" s="324">
        <f>(P37+P38+P39+P40)</f>
        <v>0</v>
      </c>
      <c r="S29" s="324"/>
      <c r="T29" s="97"/>
      <c r="U29" s="57"/>
      <c r="V29" s="57"/>
      <c r="W29" s="57"/>
      <c r="X29" s="57"/>
      <c r="Y29" s="57"/>
      <c r="Z29" s="57"/>
      <c r="AA29" s="85" t="s">
        <v>68</v>
      </c>
      <c r="AB29" s="86">
        <f>IF(AB28=0,0,AB28*100/AB31)</f>
        <v>0</v>
      </c>
      <c r="AC29" s="65"/>
      <c r="AD29" s="56"/>
      <c r="AE29" s="95" t="s">
        <v>127</v>
      </c>
      <c r="AF29" s="65"/>
      <c r="AG29" s="56"/>
      <c r="AH29" s="84"/>
      <c r="AI29" s="84"/>
      <c r="AJ29" s="84"/>
      <c r="AK29" s="73"/>
      <c r="AL29" s="73"/>
      <c r="AM29" s="57" t="e">
        <f>(AK11+AK14+AK17+AK20+AK23+AK26)*100/AJ34</f>
        <v>#VALUE!</v>
      </c>
      <c r="AN29" s="85" t="s">
        <v>68</v>
      </c>
      <c r="AO29" s="86">
        <f>IF(AO28=0,0,AO28*100/AO31)</f>
        <v>0</v>
      </c>
      <c r="AP29" s="56"/>
      <c r="AQ29" s="71" t="s">
        <v>124</v>
      </c>
      <c r="AR29" s="56">
        <f>AR7</f>
        <v>0</v>
      </c>
      <c r="AS29" s="72">
        <f>AR29/($AR$30+0.00001)</f>
        <v>0</v>
      </c>
      <c r="AT29" s="56">
        <f>IF(AS29&lt;60%,AR29,1.5*(AR28+AR27))</f>
        <v>0</v>
      </c>
      <c r="AU29" s="72">
        <f>AT29/(AV$35+0.00001)</f>
        <v>0</v>
      </c>
      <c r="AV29" s="56"/>
      <c r="AW29" s="325"/>
      <c r="AX29" s="325"/>
      <c r="AY29" s="77"/>
      <c r="AZ29" s="85"/>
      <c r="BA29" s="66"/>
      <c r="BB29" s="65"/>
      <c r="BC29" s="56"/>
      <c r="BD29" s="79" t="s">
        <v>53</v>
      </c>
      <c r="BE29" s="61">
        <f>SUM(BE27:BE28)</f>
        <v>0</v>
      </c>
      <c r="BF29" s="72"/>
      <c r="BG29" s="56"/>
      <c r="BH29" s="72"/>
      <c r="BI29" s="56"/>
      <c r="BJ29" s="60"/>
      <c r="BK29" s="60"/>
      <c r="BL29" s="73"/>
      <c r="BM29" s="56"/>
      <c r="BN29" s="56"/>
      <c r="BO29" s="65"/>
      <c r="BP29" s="56"/>
      <c r="BQ29" s="327" t="s">
        <v>96</v>
      </c>
      <c r="BR29" s="327"/>
      <c r="BS29" s="327"/>
      <c r="BT29" s="327"/>
      <c r="BU29" s="327"/>
      <c r="BV29" s="327"/>
      <c r="BW29" s="327"/>
      <c r="BX29" s="327"/>
      <c r="BY29" s="73"/>
      <c r="BZ29" s="85" t="s">
        <v>86</v>
      </c>
      <c r="CA29" s="66"/>
      <c r="CB29" s="65">
        <f>IF(CB27&gt;CB22,CB22,CB27)</f>
        <v>0</v>
      </c>
      <c r="CC29" s="56" t="e">
        <f>IF(#REF!="","",IF(#REF!="PF",#REF!,0))</f>
        <v>#REF!</v>
      </c>
      <c r="CD29" s="56" t="e">
        <f>IF(#REF!="","",IF(#REF!="PF",IF((#REF!+4)&lt;YEAR(#REF!),0,#REF!),0))</f>
        <v>#REF!</v>
      </c>
      <c r="CE29" s="56" t="e">
        <f>IF(#REF!="","",IF(AND(CD29&gt;0,#REF!&lt;&gt;""),CC29,0))</f>
        <v>#REF!</v>
      </c>
      <c r="CF29" s="56" t="e">
        <f>IF(#REF!="","",IF(AND($CE29&gt;0,#REF!= "GRENACHE N"),#REF!,0))</f>
        <v>#REF!</v>
      </c>
      <c r="CG29" s="56" t="e">
        <f>IF(#REF!="","",IF(AND($CE29&gt;0,#REF!="SYRAH N"),#REF!,0))</f>
        <v>#REF!</v>
      </c>
      <c r="CH29" s="56" t="e">
        <f>IF(#REF!="","",IF(AND($CE29&gt;0,#REF!="CINSAUT N"),#REF!,0))</f>
        <v>#REF!</v>
      </c>
      <c r="CI29" s="56" t="e">
        <f>IF(#REF!="","",IF(AND($CE29&gt;0,#REF!="TIBOUREN N"),#REF!,0))</f>
        <v>#REF!</v>
      </c>
      <c r="CJ29" s="56" t="e">
        <f>IF(#REF!="","",IF(AND($CE29&gt;0,#REF!="MOURVEDRE N"),#REF!,0))</f>
        <v>#REF!</v>
      </c>
      <c r="CK29" s="56" t="e">
        <f>IF(#REF!="","",IF(AND($CE29&gt;0,#REF!="CARIGNAN N"),#REF!,0))</f>
        <v>#REF!</v>
      </c>
      <c r="CL29" s="56" t="e">
        <f>IF(#REF!="","",IF(AND($CE29&gt;0,#REF!="CABERNET SAUVIGNON N"),#REF!,0))</f>
        <v>#REF!</v>
      </c>
      <c r="CM29" s="56" t="e">
        <f>IF(#REF!="","",IF(AND($CE29&gt;0,#REF!="VERMENTINO B"),#REF!,0))</f>
        <v>#REF!</v>
      </c>
      <c r="CN29" s="56" t="e">
        <f>IF(#REF!="","",IF(AND($CE29&gt;0,#REF!="UGNI BLANC B"),#REF!,0))</f>
        <v>#REF!</v>
      </c>
      <c r="CO29" s="56" t="e">
        <f>IF(#REF!="","",IF(AND($CE29&gt;0,#REF!="CLAIRETTE B"),#REF!,0))</f>
        <v>#REF!</v>
      </c>
      <c r="CP29" s="56" t="e">
        <f>IF(#REF!="","",IF(AND($CE29&gt;0,#REF!="semillon B"),#REF!,0))</f>
        <v>#REF!</v>
      </c>
      <c r="CQ29" s="56" t="e">
        <f>IF(#REF!="","",IF(CE29=0,CC29,0))</f>
        <v>#REF!</v>
      </c>
      <c r="CR29" s="56"/>
      <c r="CS29" s="56"/>
      <c r="CT29" s="56"/>
      <c r="CU29" s="56"/>
      <c r="CV29" s="72"/>
      <c r="CW29" s="328" t="s">
        <v>58</v>
      </c>
      <c r="CX29" s="328"/>
      <c r="CY29" s="328"/>
      <c r="CZ29" s="324">
        <f>SUM(CZ25,CZ26,CZ27)</f>
        <v>0</v>
      </c>
      <c r="DA29" s="324"/>
      <c r="DB29" s="100"/>
      <c r="DC29" s="66" t="s">
        <v>63</v>
      </c>
      <c r="DD29" s="62"/>
      <c r="DE29" s="65">
        <f>IF(DE28&lt;CU38+CU37+CU39+CU36,DE28,CU38+CU37+CU39+CU36)</f>
        <v>0</v>
      </c>
      <c r="DF29" s="56"/>
      <c r="DG29" s="327" t="s">
        <v>154</v>
      </c>
      <c r="DH29" s="327"/>
      <c r="DI29" s="327"/>
      <c r="DJ29" s="327"/>
      <c r="DK29" s="327"/>
      <c r="DL29" s="327"/>
      <c r="DM29" s="327"/>
      <c r="DN29" s="327"/>
      <c r="DO29" s="73"/>
      <c r="DP29" s="85" t="s">
        <v>86</v>
      </c>
      <c r="DQ29" s="66"/>
      <c r="DR29" s="65">
        <f>IF(DR27&gt;DR22,DR22,DR27)</f>
        <v>0</v>
      </c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63"/>
      <c r="EU29" s="56"/>
      <c r="EV29" s="103"/>
      <c r="EW29" s="63"/>
      <c r="EX29" s="56"/>
      <c r="EY29" s="63"/>
      <c r="EZ29" s="56"/>
      <c r="FA29" s="56"/>
    </row>
    <row r="30" spans="1:157" ht="17.25" customHeight="1" x14ac:dyDescent="0.25">
      <c r="A30" s="122" t="s">
        <v>127</v>
      </c>
      <c r="B30" s="306"/>
      <c r="C30" s="103"/>
      <c r="D30" s="84"/>
      <c r="E30" s="84"/>
      <c r="F30" s="84"/>
      <c r="G30" s="81"/>
      <c r="H30" s="77"/>
      <c r="I30" s="97"/>
      <c r="J30" s="56"/>
      <c r="K30" s="56"/>
      <c r="L30" s="103"/>
      <c r="M30" s="56"/>
      <c r="N30" s="56"/>
      <c r="O30" s="328" t="s">
        <v>191</v>
      </c>
      <c r="P30" s="328"/>
      <c r="Q30" s="328"/>
      <c r="R30" s="324">
        <f>AB51</f>
        <v>0</v>
      </c>
      <c r="S30" s="324"/>
      <c r="T30" s="74" t="e">
        <f>CONCATENATE("soit ",ROUND(IF(I19=0,0,R30*100/I19),2)," %")</f>
        <v>#VALUE!</v>
      </c>
      <c r="U30" s="97"/>
      <c r="V30" s="97"/>
      <c r="W30" s="97"/>
      <c r="X30" s="97"/>
      <c r="Y30" s="97"/>
      <c r="Z30" s="97"/>
      <c r="AA30" s="85" t="s">
        <v>71</v>
      </c>
      <c r="AB30" s="75">
        <f>IF(AB28=0,0,IF(AB29&gt;20,0.25*AB31-0.25*AB28,AB28))</f>
        <v>0</v>
      </c>
      <c r="AC30" s="86"/>
      <c r="AD30" s="56"/>
      <c r="AE30" s="95" t="s">
        <v>82</v>
      </c>
      <c r="AF30" s="65"/>
      <c r="AG30" s="61"/>
      <c r="AH30" s="84"/>
      <c r="AI30" s="84"/>
      <c r="AJ30" s="84"/>
      <c r="AK30" s="81"/>
      <c r="AL30" s="77"/>
      <c r="AM30" s="97"/>
      <c r="AN30" s="85" t="s">
        <v>71</v>
      </c>
      <c r="AO30" s="75">
        <f>IF(AO28=0,0,IF(AO29&gt;20,0.25*AO31-0.25*AO28,AO28))</f>
        <v>0</v>
      </c>
      <c r="AP30" s="56"/>
      <c r="AQ30" s="79" t="s">
        <v>53</v>
      </c>
      <c r="AR30" s="61">
        <f>SUM(AR27:AR29)</f>
        <v>0</v>
      </c>
      <c r="AS30" s="61"/>
      <c r="AT30" s="61"/>
      <c r="AU30" s="72"/>
      <c r="AV30" s="56"/>
      <c r="AW30" s="82"/>
      <c r="AX30" s="82"/>
      <c r="AY30" s="73"/>
      <c r="AZ30" s="85"/>
      <c r="BA30" s="56"/>
      <c r="BB30" s="65"/>
      <c r="BC30" s="56"/>
      <c r="BD30" s="56"/>
      <c r="BE30" s="56"/>
      <c r="BF30" s="72"/>
      <c r="BG30" s="328" t="s">
        <v>58</v>
      </c>
      <c r="BH30" s="328"/>
      <c r="BI30" s="328"/>
      <c r="BJ30" s="73">
        <f>SUM(BJ27,BJ28,BJ29)</f>
        <v>0</v>
      </c>
      <c r="BK30" s="73"/>
      <c r="BL30" s="100"/>
      <c r="BM30" s="66" t="s">
        <v>59</v>
      </c>
      <c r="BN30" s="62"/>
      <c r="BO30" s="65">
        <f>IF(BO27=BO24,0,IF(BO27&lt;BO24,BO24-BO27,""))</f>
        <v>0</v>
      </c>
      <c r="BP30" s="56"/>
      <c r="BQ30" s="339" t="s">
        <v>23</v>
      </c>
      <c r="BR30" s="329" t="s">
        <v>35</v>
      </c>
      <c r="BS30" s="329" t="s">
        <v>25</v>
      </c>
      <c r="BT30" s="329" t="s">
        <v>36</v>
      </c>
      <c r="BU30" s="329" t="s">
        <v>27</v>
      </c>
      <c r="BV30" s="329" t="s">
        <v>28</v>
      </c>
      <c r="BW30" s="329" t="s">
        <v>29</v>
      </c>
      <c r="BX30" s="329"/>
      <c r="BY30" s="100"/>
      <c r="BZ30" s="85" t="s">
        <v>88</v>
      </c>
      <c r="CA30" s="66"/>
      <c r="CB30" s="86">
        <f>CB22-CB29</f>
        <v>0</v>
      </c>
      <c r="CC30" s="56" t="e">
        <f>IF(#REF!="","",IF(#REF!="PF",#REF!,0))</f>
        <v>#REF!</v>
      </c>
      <c r="CD30" s="56" t="e">
        <f>IF(#REF!="","",IF(#REF!="PF",IF((#REF!+4)&lt;YEAR(#REF!),0,#REF!),0))</f>
        <v>#REF!</v>
      </c>
      <c r="CE30" s="56" t="e">
        <f>IF(#REF!="","",IF(AND(CD30&gt;0,#REF!&lt;&gt;""),CC30,0))</f>
        <v>#REF!</v>
      </c>
      <c r="CF30" s="56" t="e">
        <f>IF(#REF!="","",IF(AND($CE30&gt;0,#REF!= "GRENACHE N"),#REF!,0))</f>
        <v>#REF!</v>
      </c>
      <c r="CG30" s="56" t="e">
        <f>IF(#REF!="","",IF(AND($CE30&gt;0,#REF!="SYRAH N"),#REF!,0))</f>
        <v>#REF!</v>
      </c>
      <c r="CH30" s="56" t="e">
        <f>IF(#REF!="","",IF(AND($CE30&gt;0,#REF!="CINSAUT N"),#REF!,0))</f>
        <v>#REF!</v>
      </c>
      <c r="CI30" s="56" t="e">
        <f>IF(#REF!="","",IF(AND($CE30&gt;0,#REF!="TIBOUREN N"),#REF!,0))</f>
        <v>#REF!</v>
      </c>
      <c r="CJ30" s="56" t="e">
        <f>IF(#REF!="","",IF(AND($CE30&gt;0,#REF!="MOURVEDRE N"),#REF!,0))</f>
        <v>#REF!</v>
      </c>
      <c r="CK30" s="56" t="e">
        <f>IF(#REF!="","",IF(AND($CE30&gt;0,#REF!="CARIGNAN N"),#REF!,0))</f>
        <v>#REF!</v>
      </c>
      <c r="CL30" s="56" t="e">
        <f>IF(#REF!="","",IF(AND($CE30&gt;0,#REF!="CABERNET SAUVIGNON N"),#REF!,0))</f>
        <v>#REF!</v>
      </c>
      <c r="CM30" s="56" t="e">
        <f>IF(#REF!="","",IF(AND($CE30&gt;0,#REF!="VERMENTINO B"),#REF!,0))</f>
        <v>#REF!</v>
      </c>
      <c r="CN30" s="56" t="e">
        <f>IF(#REF!="","",IF(AND($CE30&gt;0,#REF!="UGNI BLANC B"),#REF!,0))</f>
        <v>#REF!</v>
      </c>
      <c r="CO30" s="56" t="e">
        <f>IF(#REF!="","",IF(AND($CE30&gt;0,#REF!="CLAIRETTE B"),#REF!,0))</f>
        <v>#REF!</v>
      </c>
      <c r="CP30" s="56" t="e">
        <f>IF(#REF!="","",IF(AND($CE30&gt;0,#REF!="semillon B"),#REF!,0))</f>
        <v>#REF!</v>
      </c>
      <c r="CQ30" s="56" t="e">
        <f>IF(#REF!="","",IF(CE30=0,CC30,0))</f>
        <v>#REF!</v>
      </c>
      <c r="CR30" s="56"/>
      <c r="CS30" s="56"/>
      <c r="CT30" s="83"/>
      <c r="CU30" s="56"/>
      <c r="CV30" s="62"/>
      <c r="CW30" s="336" t="s">
        <v>97</v>
      </c>
      <c r="CX30" s="336"/>
      <c r="CY30" s="336"/>
      <c r="CZ30" s="81">
        <f>IF(CY43=0,0,CZ29*100/CY43)</f>
        <v>0</v>
      </c>
      <c r="DA30" s="77" t="s">
        <v>56</v>
      </c>
      <c r="DB30" s="57"/>
      <c r="DC30" s="85" t="s">
        <v>68</v>
      </c>
      <c r="DD30" s="62"/>
      <c r="DE30" s="86">
        <f>IF(DE29=0,0,DE29*100/DE35)</f>
        <v>0</v>
      </c>
      <c r="DF30" s="56"/>
      <c r="DG30" s="339" t="s">
        <v>23</v>
      </c>
      <c r="DH30" s="329" t="s">
        <v>157</v>
      </c>
      <c r="DI30" s="329" t="s">
        <v>25</v>
      </c>
      <c r="DJ30" s="329" t="s">
        <v>36</v>
      </c>
      <c r="DK30" s="329" t="s">
        <v>27</v>
      </c>
      <c r="DL30" s="329" t="s">
        <v>28</v>
      </c>
      <c r="DM30" s="329" t="s">
        <v>29</v>
      </c>
      <c r="DN30" s="329"/>
      <c r="DO30" s="100"/>
      <c r="DP30" s="85" t="s">
        <v>88</v>
      </c>
      <c r="DQ30" s="66"/>
      <c r="DR30" s="86">
        <f>DR22-DR29</f>
        <v>0</v>
      </c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63"/>
      <c r="EU30" s="56"/>
      <c r="EV30" s="103"/>
      <c r="EW30" s="63"/>
      <c r="EX30" s="56"/>
      <c r="EY30" s="63"/>
      <c r="EZ30" s="56"/>
      <c r="FA30" s="56"/>
    </row>
    <row r="31" spans="1:157" ht="16.5" customHeight="1" x14ac:dyDescent="0.25">
      <c r="A31" s="122" t="s">
        <v>82</v>
      </c>
      <c r="B31" s="306"/>
      <c r="C31" s="103"/>
      <c r="D31" s="56"/>
      <c r="E31" s="56"/>
      <c r="F31" s="56"/>
      <c r="G31" s="56"/>
      <c r="H31" s="56"/>
      <c r="I31" s="97"/>
      <c r="J31" s="97"/>
      <c r="K31" s="97"/>
      <c r="L31" s="104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85" t="s">
        <v>75</v>
      </c>
      <c r="AB31" s="65">
        <f>R6+R9+R12+R15+R18+AB28</f>
        <v>0</v>
      </c>
      <c r="AC31" s="65"/>
      <c r="AD31" s="56"/>
      <c r="AE31" s="96" t="s">
        <v>85</v>
      </c>
      <c r="AF31" s="65"/>
      <c r="AG31" s="56"/>
      <c r="AH31" s="56"/>
      <c r="AI31" s="56"/>
      <c r="AJ31" s="56"/>
      <c r="AK31" s="56"/>
      <c r="AL31" s="56"/>
      <c r="AM31" s="97"/>
      <c r="AN31" s="85" t="s">
        <v>75</v>
      </c>
      <c r="AO31" s="65">
        <f>AK11+AK14+AK17+AK20+AK23+AO28</f>
        <v>0</v>
      </c>
      <c r="AP31" s="56"/>
      <c r="AQ31" s="56"/>
      <c r="AR31" s="56"/>
      <c r="AS31" s="56"/>
      <c r="AT31" s="328" t="s">
        <v>58</v>
      </c>
      <c r="AU31" s="328"/>
      <c r="AV31" s="328"/>
      <c r="AW31" s="324">
        <f>SUM(AT27:AT29)</f>
        <v>0</v>
      </c>
      <c r="AX31" s="324"/>
      <c r="AY31" s="100"/>
      <c r="AZ31" s="85"/>
      <c r="BA31" s="56"/>
      <c r="BB31" s="65"/>
      <c r="BC31" s="56"/>
      <c r="BD31" s="83" t="s">
        <v>61</v>
      </c>
      <c r="BE31" s="56"/>
      <c r="BF31" s="72"/>
      <c r="BG31" s="336" t="s">
        <v>97</v>
      </c>
      <c r="BH31" s="336"/>
      <c r="BI31" s="336"/>
      <c r="BJ31" s="81">
        <f>IF(BI44=0,0,BJ30*100/BI44)</f>
        <v>0</v>
      </c>
      <c r="BK31" s="77" t="s">
        <v>56</v>
      </c>
      <c r="BL31" s="57"/>
      <c r="BM31" s="66" t="s">
        <v>63</v>
      </c>
      <c r="BN31" s="62"/>
      <c r="BO31" s="65">
        <f>IF(BO30&lt;BE39+BE38+BE40+BE37,BO30,BE39+BE38+BE40+BE37)</f>
        <v>0</v>
      </c>
      <c r="BP31" s="56"/>
      <c r="BQ31" s="339"/>
      <c r="BR31" s="329"/>
      <c r="BS31" s="329"/>
      <c r="BT31" s="329"/>
      <c r="BU31" s="329"/>
      <c r="BV31" s="329"/>
      <c r="BW31" s="329"/>
      <c r="BX31" s="329"/>
      <c r="BY31" s="100"/>
      <c r="BZ31" s="85" t="s">
        <v>89</v>
      </c>
      <c r="CA31" s="66"/>
      <c r="CB31" s="65">
        <f>IF(BR15=0,0,IF(BR15&gt;CB30,CB30,BR15))</f>
        <v>0</v>
      </c>
      <c r="CC31" s="56" t="e">
        <f>IF(#REF!="","",IF(#REF!="PF",#REF!,0))</f>
        <v>#REF!</v>
      </c>
      <c r="CD31" s="56" t="e">
        <f>IF(#REF!="","",IF(#REF!="PF",IF((#REF!+4)&lt;YEAR(#REF!),0,#REF!),0))</f>
        <v>#REF!</v>
      </c>
      <c r="CE31" s="56" t="e">
        <f>IF(#REF!="","",IF(AND(CD31&gt;0,#REF!&lt;&gt;""),CC31,0))</f>
        <v>#REF!</v>
      </c>
      <c r="CF31" s="56" t="e">
        <f>IF(#REF!="","",IF(AND($CE31&gt;0,#REF!= "GRENACHE N"),#REF!,0))</f>
        <v>#REF!</v>
      </c>
      <c r="CG31" s="56" t="e">
        <f>IF(#REF!="","",IF(AND($CE31&gt;0,#REF!="SYRAH N"),#REF!,0))</f>
        <v>#REF!</v>
      </c>
      <c r="CH31" s="56" t="e">
        <f>IF(#REF!="","",IF(AND($CE31&gt;0,#REF!="CINSAUT N"),#REF!,0))</f>
        <v>#REF!</v>
      </c>
      <c r="CI31" s="56" t="e">
        <f>IF(#REF!="","",IF(AND($CE31&gt;0,#REF!="TIBOUREN N"),#REF!,0))</f>
        <v>#REF!</v>
      </c>
      <c r="CJ31" s="56" t="e">
        <f>IF(#REF!="","",IF(AND($CE31&gt;0,#REF!="MOURVEDRE N"),#REF!,0))</f>
        <v>#REF!</v>
      </c>
      <c r="CK31" s="56" t="e">
        <f>IF(#REF!="","",IF(AND($CE31&gt;0,#REF!="CARIGNAN N"),#REF!,0))</f>
        <v>#REF!</v>
      </c>
      <c r="CL31" s="56" t="e">
        <f>IF(#REF!="","",IF(AND($CE31&gt;0,#REF!="CABERNET SAUVIGNON N"),#REF!,0))</f>
        <v>#REF!</v>
      </c>
      <c r="CM31" s="56" t="e">
        <f>IF(#REF!="","",IF(AND($CE31&gt;0,#REF!="VERMENTINO B"),#REF!,0))</f>
        <v>#REF!</v>
      </c>
      <c r="CN31" s="56" t="e">
        <f>IF(#REF!="","",IF(AND($CE31&gt;0,#REF!="UGNI BLANC B"),#REF!,0))</f>
        <v>#REF!</v>
      </c>
      <c r="CO31" s="56" t="e">
        <f>IF(#REF!="","",IF(AND($CE31&gt;0,#REF!="CLAIRETTE B"),#REF!,0))</f>
        <v>#REF!</v>
      </c>
      <c r="CP31" s="56" t="e">
        <f>IF(#REF!="","",IF(AND($CE31&gt;0,#REF!="semillon B"),#REF!,0))</f>
        <v>#REF!</v>
      </c>
      <c r="CQ31" s="56" t="e">
        <f>IF(#REF!="","",IF(CE31=0,CC31,0))</f>
        <v>#REF!</v>
      </c>
      <c r="CR31" s="56"/>
      <c r="CS31" s="56"/>
      <c r="CT31" s="83" t="s">
        <v>52</v>
      </c>
      <c r="CU31" s="56"/>
      <c r="CV31" s="56"/>
      <c r="CW31" s="326" t="s">
        <v>64</v>
      </c>
      <c r="CX31" s="326"/>
      <c r="CY31" s="326"/>
      <c r="CZ31" s="324">
        <f>IF(CU28&lt;CZ29,0,CU28-CZ29)</f>
        <v>0</v>
      </c>
      <c r="DA31" s="324"/>
      <c r="DB31" s="57"/>
      <c r="DC31" s="56"/>
      <c r="DD31" s="56"/>
      <c r="DE31" s="65"/>
      <c r="DF31" s="56"/>
      <c r="DG31" s="339"/>
      <c r="DH31" s="329"/>
      <c r="DI31" s="329"/>
      <c r="DJ31" s="329"/>
      <c r="DK31" s="329"/>
      <c r="DL31" s="329"/>
      <c r="DM31" s="329"/>
      <c r="DN31" s="329"/>
      <c r="DO31" s="100"/>
      <c r="DP31" s="85" t="s">
        <v>89</v>
      </c>
      <c r="DQ31" s="66"/>
      <c r="DR31" s="65">
        <f>IF(DH15=0,0,IF(DH15&gt;DR30,DR30,DH15))</f>
        <v>0</v>
      </c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63"/>
      <c r="EX31" s="56"/>
      <c r="EY31" s="63"/>
      <c r="EZ31" s="56"/>
      <c r="FA31" s="56"/>
    </row>
    <row r="32" spans="1:157" ht="16.5" customHeight="1" thickBot="1" x14ac:dyDescent="0.3">
      <c r="A32" s="123" t="s">
        <v>85</v>
      </c>
      <c r="B32" s="124">
        <f>SUM(B28:B31)</f>
        <v>0</v>
      </c>
      <c r="C32" s="119"/>
      <c r="D32" s="102"/>
      <c r="E32" s="102"/>
      <c r="F32" s="100"/>
      <c r="G32" s="100"/>
      <c r="H32" s="100"/>
      <c r="I32" s="60"/>
      <c r="J32" s="60"/>
      <c r="K32" s="60"/>
      <c r="L32" s="105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56"/>
      <c r="AB32" s="65"/>
      <c r="AC32" s="65"/>
      <c r="AD32" s="56"/>
      <c r="AE32" s="91" t="s">
        <v>73</v>
      </c>
      <c r="AF32" s="101">
        <f>AF31+AF16+AF10+AF19+AF25</f>
        <v>0</v>
      </c>
      <c r="AG32" s="102"/>
      <c r="AH32" s="102"/>
      <c r="AI32" s="102"/>
      <c r="AJ32" s="100"/>
      <c r="AK32" s="100"/>
      <c r="AL32" s="100"/>
      <c r="AM32" s="60"/>
      <c r="AN32" s="56"/>
      <c r="AO32" s="65"/>
      <c r="AP32" s="56"/>
      <c r="AQ32" s="56"/>
      <c r="AR32" s="56"/>
      <c r="AS32" s="56"/>
      <c r="AT32" s="336" t="s">
        <v>62</v>
      </c>
      <c r="AU32" s="336"/>
      <c r="AV32" s="336"/>
      <c r="AW32" s="81">
        <f>IF(AV35=0,0,AW31*100/AV35)</f>
        <v>0</v>
      </c>
      <c r="AX32" s="77" t="s">
        <v>56</v>
      </c>
      <c r="AY32" s="57"/>
      <c r="AZ32" s="85"/>
      <c r="BA32" s="56"/>
      <c r="BB32" s="65"/>
      <c r="BC32" s="56"/>
      <c r="BD32" s="83" t="s">
        <v>52</v>
      </c>
      <c r="BE32" s="56"/>
      <c r="BF32" s="72"/>
      <c r="BG32" s="326" t="s">
        <v>64</v>
      </c>
      <c r="BH32" s="326"/>
      <c r="BI32" s="326"/>
      <c r="BJ32" s="73">
        <f>IF(BE29&lt;BJ30,0,BE29-BJ30)</f>
        <v>0</v>
      </c>
      <c r="BK32" s="73"/>
      <c r="BL32" s="57"/>
      <c r="BM32" s="85" t="s">
        <v>68</v>
      </c>
      <c r="BN32" s="62"/>
      <c r="BO32" s="86">
        <f>IF(BO31=0,0,BO31*100/BO36)</f>
        <v>0</v>
      </c>
      <c r="BP32" s="56"/>
      <c r="BQ32" s="71" t="s">
        <v>0</v>
      </c>
      <c r="BR32" s="56">
        <f>BR5</f>
        <v>50</v>
      </c>
      <c r="BS32" s="72">
        <f>BR32/($BR$47+0.00001)</f>
        <v>0.33333331111111258</v>
      </c>
      <c r="BT32" s="56">
        <f>IF(BS32&lt;80%,BR32,4*(BR33+BR34))</f>
        <v>50</v>
      </c>
      <c r="BU32" s="72">
        <f>BW32/(BV$53+0.00001)</f>
        <v>0.33333331111111258</v>
      </c>
      <c r="BV32" s="56">
        <f>IF(OR($BT$34=$BR$35,$BT$33=$BR$35,$BT$32=$BR$35,BS32=100%),0,BT32)</f>
        <v>50</v>
      </c>
      <c r="BW32" s="60">
        <f>BV32</f>
        <v>50</v>
      </c>
      <c r="BX32" s="60"/>
      <c r="BY32" s="100"/>
      <c r="BZ32" s="85" t="s">
        <v>92</v>
      </c>
      <c r="CA32" s="56"/>
      <c r="CB32" s="65">
        <f>CB31+CB29</f>
        <v>0</v>
      </c>
      <c r="CC32" s="56" t="e">
        <f>IF(#REF!="","",IF(#REF!="PF",#REF!,0))</f>
        <v>#REF!</v>
      </c>
      <c r="CD32" s="56" t="e">
        <f>IF(#REF!="","",IF(#REF!="PF",IF((#REF!+4)&lt;YEAR(#REF!),0,#REF!),0))</f>
        <v>#REF!</v>
      </c>
      <c r="CE32" s="56" t="e">
        <f>IF(#REF!="","",IF(AND(CD32&gt;0,#REF!&lt;&gt;""),CC32,0))</f>
        <v>#REF!</v>
      </c>
      <c r="CF32" s="56" t="e">
        <f>IF(#REF!="","",IF(AND($CE32&gt;0,#REF!= "GRENACHE N"),#REF!,0))</f>
        <v>#REF!</v>
      </c>
      <c r="CG32" s="56" t="e">
        <f>IF(#REF!="","",IF(AND($CE32&gt;0,#REF!="SYRAH N"),#REF!,0))</f>
        <v>#REF!</v>
      </c>
      <c r="CH32" s="56" t="e">
        <f>IF(#REF!="","",IF(AND($CE32&gt;0,#REF!="CINSAUT N"),#REF!,0))</f>
        <v>#REF!</v>
      </c>
      <c r="CI32" s="56" t="e">
        <f>IF(#REF!="","",IF(AND($CE32&gt;0,#REF!="TIBOUREN N"),#REF!,0))</f>
        <v>#REF!</v>
      </c>
      <c r="CJ32" s="56" t="e">
        <f>IF(#REF!="","",IF(AND($CE32&gt;0,#REF!="MOURVEDRE N"),#REF!,0))</f>
        <v>#REF!</v>
      </c>
      <c r="CK32" s="56" t="e">
        <f>IF(#REF!="","",IF(AND($CE32&gt;0,#REF!="CARIGNAN N"),#REF!,0))</f>
        <v>#REF!</v>
      </c>
      <c r="CL32" s="56" t="e">
        <f>IF(#REF!="","",IF(AND($CE32&gt;0,#REF!="CABERNET SAUVIGNON N"),#REF!,0))</f>
        <v>#REF!</v>
      </c>
      <c r="CM32" s="56" t="e">
        <f>IF(#REF!="","",IF(AND($CE32&gt;0,#REF!="VERMENTINO B"),#REF!,0))</f>
        <v>#REF!</v>
      </c>
      <c r="CN32" s="56" t="e">
        <f>IF(#REF!="","",IF(AND($CE32&gt;0,#REF!="UGNI BLANC B"),#REF!,0))</f>
        <v>#REF!</v>
      </c>
      <c r="CO32" s="56" t="e">
        <f>IF(#REF!="","",IF(AND($CE32&gt;0,#REF!="CLAIRETTE B"),#REF!,0))</f>
        <v>#REF!</v>
      </c>
      <c r="CP32" s="56" t="e">
        <f>IF(#REF!="","",IF(AND($CE32&gt;0,#REF!="semillon B"),#REF!,0))</f>
        <v>#REF!</v>
      </c>
      <c r="CQ32" s="56" t="e">
        <f>IF(#REF!="","",IF(CE32=0,CC32,0))</f>
        <v>#REF!</v>
      </c>
      <c r="CR32" s="56"/>
      <c r="CS32" s="56"/>
      <c r="CT32" s="87" t="s">
        <v>124</v>
      </c>
      <c r="CU32" s="56"/>
      <c r="CV32" s="56"/>
      <c r="CW32" s="56"/>
      <c r="CX32" s="56"/>
      <c r="CY32" s="56"/>
      <c r="CZ32" s="56"/>
      <c r="DA32" s="56"/>
      <c r="DB32" s="60"/>
      <c r="DC32" s="85" t="s">
        <v>71</v>
      </c>
      <c r="DD32" s="62"/>
      <c r="DE32" s="75">
        <f>IF(DE29=0,0,IF(DE30&gt;20,0.25*DE35-0.25*DE29,DE29))</f>
        <v>0</v>
      </c>
      <c r="DF32" s="56"/>
      <c r="DG32" s="71" t="s">
        <v>0</v>
      </c>
      <c r="DH32" s="56"/>
      <c r="DI32" s="72">
        <f>DH32/($DH$47+0.00001)</f>
        <v>0</v>
      </c>
      <c r="DJ32" s="56">
        <f>IF(DI32&lt;80%,DH32,4*(DH33+DH34))</f>
        <v>0</v>
      </c>
      <c r="DK32" s="72">
        <f>DM32/(DL$53+0.00001)</f>
        <v>0</v>
      </c>
      <c r="DL32" s="56">
        <f>IF(OR($DJ$34=$DH$35,$DJ$33=$DH$35,$DJ$32=$DH$35,DI32=100%),0,DJ32)</f>
        <v>0</v>
      </c>
      <c r="DM32" s="60">
        <f>DL32</f>
        <v>0</v>
      </c>
      <c r="DN32" s="60"/>
      <c r="DO32" s="100"/>
      <c r="DP32" s="85" t="s">
        <v>92</v>
      </c>
      <c r="DQ32" s="56"/>
      <c r="DR32" s="65">
        <f>DR31+DR29</f>
        <v>0</v>
      </c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63"/>
      <c r="EX32" s="56"/>
      <c r="EY32" s="63"/>
      <c r="EZ32" s="56"/>
      <c r="FA32" s="56"/>
    </row>
    <row r="33" spans="1:157" ht="16.5" customHeight="1" thickBot="1" x14ac:dyDescent="0.3">
      <c r="A33" s="120"/>
      <c r="B33" s="120"/>
      <c r="C33" s="56"/>
      <c r="D33" s="56"/>
      <c r="E33" s="56"/>
      <c r="F33" s="56"/>
      <c r="G33" s="56"/>
      <c r="H33" s="56"/>
      <c r="I33" s="97"/>
      <c r="J33" s="97"/>
      <c r="K33" s="97"/>
      <c r="L33" s="104"/>
      <c r="M33" s="97"/>
      <c r="N33" s="97"/>
      <c r="O33" s="327" t="s">
        <v>200</v>
      </c>
      <c r="P33" s="327"/>
      <c r="Q33" s="327"/>
      <c r="R33" s="327"/>
      <c r="S33" s="327"/>
      <c r="T33" s="327"/>
      <c r="U33" s="327"/>
      <c r="V33" s="327"/>
      <c r="W33" s="97"/>
      <c r="X33" s="97"/>
      <c r="Y33" s="97"/>
      <c r="Z33" s="97"/>
      <c r="AA33" s="85" t="s">
        <v>78</v>
      </c>
      <c r="AB33" s="65">
        <f>R6+R9+R12+R15+R18+AB30</f>
        <v>0</v>
      </c>
      <c r="AC33" s="65"/>
      <c r="AD33" s="56"/>
      <c r="AE33" s="56"/>
      <c r="AF33" s="56"/>
      <c r="AG33" s="56"/>
      <c r="AH33" s="56"/>
      <c r="AI33" s="56"/>
      <c r="AJ33" s="56"/>
      <c r="AK33" s="56"/>
      <c r="AL33" s="56"/>
      <c r="AM33" s="97"/>
      <c r="AN33" s="85" t="s">
        <v>78</v>
      </c>
      <c r="AO33" s="65">
        <f>AK11+AK14+AK17+AK20+AK23+AO30</f>
        <v>0</v>
      </c>
      <c r="AP33" s="56"/>
      <c r="AQ33" s="56"/>
      <c r="AR33" s="56"/>
      <c r="AS33" s="56"/>
      <c r="AT33" s="326" t="s">
        <v>64</v>
      </c>
      <c r="AU33" s="326"/>
      <c r="AV33" s="326"/>
      <c r="AW33" s="324">
        <f>IF(AR30&lt;AW31,0,AR30-AW31)</f>
        <v>0</v>
      </c>
      <c r="AX33" s="324"/>
      <c r="AY33" s="57"/>
      <c r="AZ33" s="85"/>
      <c r="BA33" s="56"/>
      <c r="BB33" s="65"/>
      <c r="BC33" s="56"/>
      <c r="BD33" s="87" t="s">
        <v>124</v>
      </c>
      <c r="BE33" s="56"/>
      <c r="BF33" s="72"/>
      <c r="BG33" s="89"/>
      <c r="BH33" s="89"/>
      <c r="BI33" s="89"/>
      <c r="BJ33" s="73"/>
      <c r="BK33" s="73"/>
      <c r="BL33" s="56"/>
      <c r="BM33" s="85" t="s">
        <v>71</v>
      </c>
      <c r="BN33" s="62"/>
      <c r="BO33" s="75">
        <f>IF(BO31=0,0,IF(BO32&gt;20,0.25*BO36-0.25*BO31,BO31))</f>
        <v>0</v>
      </c>
      <c r="BP33" s="56"/>
      <c r="BQ33" s="71" t="s">
        <v>1</v>
      </c>
      <c r="BR33" s="56">
        <f>BR6</f>
        <v>50</v>
      </c>
      <c r="BS33" s="72">
        <f>BR33/($BR$47+0.00001)</f>
        <v>0.33333331111111258</v>
      </c>
      <c r="BT33" s="56">
        <f>IF(BS33&lt;80%,BR33,4*(BR34+BR32))</f>
        <v>50</v>
      </c>
      <c r="BU33" s="72">
        <f>BW33/(BV$53+0.00001)</f>
        <v>0.33333331111111258</v>
      </c>
      <c r="BV33" s="56">
        <f>IF(OR($BT$32=$BR$35,$BT$33=$BR$35,$BT$34=$BR$35,BS33=100%),0,BT33)</f>
        <v>50</v>
      </c>
      <c r="BW33" s="60">
        <f>BV33</f>
        <v>50</v>
      </c>
      <c r="BX33" s="60"/>
      <c r="BY33" s="100"/>
      <c r="BZ33" s="85" t="s">
        <v>78</v>
      </c>
      <c r="CA33" s="56"/>
      <c r="CB33" s="65">
        <f>BW10+BW14+CB32</f>
        <v>150</v>
      </c>
      <c r="CC33" s="56" t="e">
        <f>IF(#REF!="","",IF(#REF!="PF",#REF!,0))</f>
        <v>#REF!</v>
      </c>
      <c r="CD33" s="56" t="e">
        <f>IF(#REF!="","",IF(#REF!="PF",IF((#REF!+4)&lt;YEAR(#REF!),0,#REF!),0))</f>
        <v>#REF!</v>
      </c>
      <c r="CE33" s="56" t="e">
        <f>IF(#REF!="","",IF(AND(CD33&gt;0,#REF!&lt;&gt;""),CC33,0))</f>
        <v>#REF!</v>
      </c>
      <c r="CF33" s="56" t="e">
        <f>IF(#REF!="","",IF(AND($CE33&gt;0,#REF!= "GRENACHE N"),#REF!,0))</f>
        <v>#REF!</v>
      </c>
      <c r="CG33" s="56" t="e">
        <f>IF(#REF!="","",IF(AND($CE33&gt;0,#REF!="SYRAH N"),#REF!,0))</f>
        <v>#REF!</v>
      </c>
      <c r="CH33" s="56" t="e">
        <f>IF(#REF!="","",IF(AND($CE33&gt;0,#REF!="CINSAUT N"),#REF!,0))</f>
        <v>#REF!</v>
      </c>
      <c r="CI33" s="56" t="e">
        <f>IF(#REF!="","",IF(AND($CE33&gt;0,#REF!="TIBOUREN N"),#REF!,0))</f>
        <v>#REF!</v>
      </c>
      <c r="CJ33" s="56" t="e">
        <f>IF(#REF!="","",IF(AND($CE33&gt;0,#REF!="MOURVEDRE N"),#REF!,0))</f>
        <v>#REF!</v>
      </c>
      <c r="CK33" s="56" t="e">
        <f>IF(#REF!="","",IF(AND($CE33&gt;0,#REF!="CARIGNAN N"),#REF!,0))</f>
        <v>#REF!</v>
      </c>
      <c r="CL33" s="56" t="e">
        <f>IF(#REF!="","",IF(AND($CE33&gt;0,#REF!="CABERNET SAUVIGNON N"),#REF!,0))</f>
        <v>#REF!</v>
      </c>
      <c r="CM33" s="56" t="e">
        <f>IF(#REF!="","",IF(AND($CE33&gt;0,#REF!="VERMENTINO B"),#REF!,0))</f>
        <v>#REF!</v>
      </c>
      <c r="CN33" s="56" t="e">
        <f>IF(#REF!="","",IF(AND($CE33&gt;0,#REF!="UGNI BLANC B"),#REF!,0))</f>
        <v>#REF!</v>
      </c>
      <c r="CO33" s="56" t="e">
        <f>IF(#REF!="","",IF(AND($CE33&gt;0,#REF!="CLAIRETTE B"),#REF!,0))</f>
        <v>#REF!</v>
      </c>
      <c r="CP33" s="56" t="e">
        <f>IF(#REF!="","",IF(AND($CE33&gt;0,#REF!="semillon B"),#REF!,0))</f>
        <v>#REF!</v>
      </c>
      <c r="CQ33" s="56" t="e">
        <f>IF(#REF!="","",IF(CE33=0,CC33,0))</f>
        <v>#REF!</v>
      </c>
      <c r="CR33" s="56"/>
      <c r="CS33" s="56"/>
      <c r="CT33" s="87"/>
      <c r="CU33" s="56"/>
      <c r="CV33" s="56"/>
      <c r="CW33" s="328" t="s">
        <v>70</v>
      </c>
      <c r="CX33" s="328"/>
      <c r="CY33" s="328"/>
      <c r="CZ33" s="324">
        <f>DE26</f>
        <v>0</v>
      </c>
      <c r="DA33" s="324"/>
      <c r="DB33" s="82"/>
      <c r="DC33" s="85"/>
      <c r="DD33" s="62"/>
      <c r="DE33" s="65"/>
      <c r="DF33" s="56"/>
      <c r="DG33" s="71" t="s">
        <v>1</v>
      </c>
      <c r="DH33" s="56"/>
      <c r="DI33" s="72">
        <f>DH33/($DH$47+0.00001)</f>
        <v>0</v>
      </c>
      <c r="DJ33" s="56">
        <f>IF(DI33&lt;80%,DH33,4*(DH34+DH32))</f>
        <v>0</v>
      </c>
      <c r="DK33" s="72">
        <f>DM33/(DL$53+0.00001)</f>
        <v>0</v>
      </c>
      <c r="DL33" s="56">
        <f>IF(OR($DJ$32=$DH$35,$DJ$33=$DH$35,$DJ$34=$DH$35,DI33=100%),0,DJ33)</f>
        <v>0</v>
      </c>
      <c r="DM33" s="60">
        <f>DL33</f>
        <v>0</v>
      </c>
      <c r="DN33" s="60"/>
      <c r="DO33" s="100"/>
      <c r="DP33" s="85" t="s">
        <v>78</v>
      </c>
      <c r="DQ33" s="56"/>
      <c r="DR33" s="65">
        <f>DM10+DM14+DR32</f>
        <v>0</v>
      </c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63"/>
      <c r="EX33" s="56"/>
      <c r="EY33" s="63"/>
      <c r="EZ33" s="56"/>
      <c r="FA33" s="56"/>
    </row>
    <row r="34" spans="1:157" ht="16.5" customHeight="1" thickBot="1" x14ac:dyDescent="0.3">
      <c r="A34" s="142" t="s">
        <v>207</v>
      </c>
      <c r="B34" s="143">
        <f>B32+B16+B10+B19+B26</f>
        <v>0</v>
      </c>
      <c r="C34" s="103"/>
      <c r="D34" s="56"/>
      <c r="E34" s="56"/>
      <c r="F34" s="56"/>
      <c r="G34" s="56"/>
      <c r="H34" s="56"/>
      <c r="I34" s="56"/>
      <c r="J34" s="56"/>
      <c r="K34" s="56"/>
      <c r="L34" s="103"/>
      <c r="M34" s="56"/>
      <c r="N34" s="56"/>
      <c r="O34" s="327"/>
      <c r="P34" s="327"/>
      <c r="Q34" s="327"/>
      <c r="R34" s="327"/>
      <c r="S34" s="327"/>
      <c r="T34" s="327"/>
      <c r="U34" s="327"/>
      <c r="V34" s="327"/>
      <c r="W34" s="56"/>
      <c r="X34" s="56"/>
      <c r="Y34" s="56"/>
      <c r="Z34" s="56"/>
      <c r="AA34" s="85" t="s">
        <v>81</v>
      </c>
      <c r="AB34" s="65">
        <f>(B29+B30+B31)-(1/0.9)*(B29+B30+B31)+(0.1/0.9)*(R6+R9+R12+R15+R18+B29+B30+B31+B28)</f>
        <v>0</v>
      </c>
      <c r="AC34" s="65"/>
      <c r="AD34" s="56"/>
      <c r="AE34" s="394" t="s">
        <v>131</v>
      </c>
      <c r="AF34" s="394"/>
      <c r="AG34" s="394"/>
      <c r="AH34" s="394"/>
      <c r="AI34" s="394"/>
      <c r="AJ34" s="393" t="str">
        <f>IF(AF32&lt;=1.5,"!!!!!!!!!!!",IF(AND(AF32&lt;1.5,AF10=50/100*AF32),AF32,AK11+AK14+AK17+AK20+AK26+AK23))</f>
        <v>!!!!!!!!!!!</v>
      </c>
      <c r="AK34" s="393"/>
      <c r="AL34" s="393"/>
      <c r="AM34" s="56"/>
      <c r="AN34" s="85" t="s">
        <v>81</v>
      </c>
      <c r="AO34" s="65">
        <f>(AF28+AF29+AF30)-(1/0.9)*(AF28+AF29+AF30)+(0.1/0.9)*(AK11+AK14+AK17+AK20+AK23+AF28+AF29+AF30+AF27)</f>
        <v>0</v>
      </c>
      <c r="AP34" s="56"/>
      <c r="AQ34" s="56"/>
      <c r="AR34" s="56"/>
      <c r="AS34" s="56"/>
      <c r="AT34" s="56"/>
      <c r="AU34" s="56"/>
      <c r="AV34" s="56"/>
      <c r="AW34" s="56"/>
      <c r="AX34" s="56"/>
      <c r="AY34" s="57"/>
      <c r="AZ34" s="85"/>
      <c r="BA34" s="56"/>
      <c r="BB34" s="65"/>
      <c r="BC34" s="56"/>
      <c r="BD34" s="87" t="s">
        <v>1</v>
      </c>
      <c r="BE34" s="56"/>
      <c r="BF34" s="72"/>
      <c r="BG34" s="328" t="s">
        <v>70</v>
      </c>
      <c r="BH34" s="328"/>
      <c r="BI34" s="328"/>
      <c r="BJ34" s="73">
        <f>BO27</f>
        <v>0</v>
      </c>
      <c r="BK34" s="73"/>
      <c r="BL34" s="56"/>
      <c r="BM34" s="85"/>
      <c r="BN34" s="62"/>
      <c r="BO34" s="65"/>
      <c r="BP34" s="56"/>
      <c r="BQ34" s="71" t="s">
        <v>49</v>
      </c>
      <c r="BR34" s="56">
        <f>BR7</f>
        <v>50</v>
      </c>
      <c r="BS34" s="72">
        <f>BR34/($BR$47+0.00001)</f>
        <v>0.33333331111111258</v>
      </c>
      <c r="BT34" s="56">
        <f>IF(BS34&lt;80%,BR34,4*(BR33+BR32))</f>
        <v>50</v>
      </c>
      <c r="BU34" s="72">
        <f>BW34/(BV$53+0.00001)</f>
        <v>0.33333331111111258</v>
      </c>
      <c r="BV34" s="56">
        <f>IF(OR($BT$32=$BR$35,$BT$33=$BR$35,$BT$34=$BR$35,BS34=100%),0,BT34)</f>
        <v>50</v>
      </c>
      <c r="BW34" s="60">
        <f>BV34</f>
        <v>50</v>
      </c>
      <c r="BX34" s="60"/>
      <c r="BY34" s="56"/>
      <c r="BZ34" s="85"/>
      <c r="CA34" s="56"/>
      <c r="CB34" s="65"/>
      <c r="CC34" s="56" t="e">
        <f>IF(#REF!="","",IF(#REF!="PF",#REF!,0))</f>
        <v>#REF!</v>
      </c>
      <c r="CD34" s="56" t="e">
        <f>IF(#REF!="","",IF(#REF!="PF",IF((#REF!+4)&lt;YEAR(#REF!),0,#REF!),0))</f>
        <v>#REF!</v>
      </c>
      <c r="CE34" s="56" t="e">
        <f>IF(#REF!="","",IF(AND(CD34&gt;0,#REF!&lt;&gt;""),CC34,0))</f>
        <v>#REF!</v>
      </c>
      <c r="CF34" s="56" t="e">
        <f>IF(#REF!="","",IF(AND($CE34&gt;0,#REF!= "GRENACHE N"),#REF!,0))</f>
        <v>#REF!</v>
      </c>
      <c r="CG34" s="56" t="e">
        <f>IF(#REF!="","",IF(AND($CE34&gt;0,#REF!="SYRAH N"),#REF!,0))</f>
        <v>#REF!</v>
      </c>
      <c r="CH34" s="56" t="e">
        <f>IF(#REF!="","",IF(AND($CE34&gt;0,#REF!="CINSAUT N"),#REF!,0))</f>
        <v>#REF!</v>
      </c>
      <c r="CI34" s="56" t="e">
        <f>IF(#REF!="","",IF(AND($CE34&gt;0,#REF!="TIBOUREN N"),#REF!,0))</f>
        <v>#REF!</v>
      </c>
      <c r="CJ34" s="56" t="e">
        <f>IF(#REF!="","",IF(AND($CE34&gt;0,#REF!="MOURVEDRE N"),#REF!,0))</f>
        <v>#REF!</v>
      </c>
      <c r="CK34" s="56" t="e">
        <f>IF(#REF!="","",IF(AND($CE34&gt;0,#REF!="CARIGNAN N"),#REF!,0))</f>
        <v>#REF!</v>
      </c>
      <c r="CL34" s="56" t="e">
        <f>IF(#REF!="","",IF(AND($CE34&gt;0,#REF!="CABERNET SAUVIGNON N"),#REF!,0))</f>
        <v>#REF!</v>
      </c>
      <c r="CM34" s="56" t="e">
        <f>IF(#REF!="","",IF(AND($CE34&gt;0,#REF!="VERMENTINO B"),#REF!,0))</f>
        <v>#REF!</v>
      </c>
      <c r="CN34" s="56" t="e">
        <f>IF(#REF!="","",IF(AND($CE34&gt;0,#REF!="UGNI BLANC B"),#REF!,0))</f>
        <v>#REF!</v>
      </c>
      <c r="CO34" s="56" t="e">
        <f>IF(#REF!="","",IF(AND($CE34&gt;0,#REF!="CLAIRETTE B"),#REF!,0))</f>
        <v>#REF!</v>
      </c>
      <c r="CP34" s="56" t="e">
        <f>IF(#REF!="","",IF(AND($CE34&gt;0,#REF!="semillon B"),#REF!,0))</f>
        <v>#REF!</v>
      </c>
      <c r="CQ34" s="56" t="e">
        <f>IF(#REF!="","",IF(CE34=0,CC34,0))</f>
        <v>#REF!</v>
      </c>
      <c r="CR34" s="56"/>
      <c r="CS34" s="56"/>
      <c r="CT34" s="88" t="s">
        <v>67</v>
      </c>
      <c r="CU34" s="61">
        <f>SUM(CU31:CU32)</f>
        <v>0</v>
      </c>
      <c r="CV34" s="56"/>
      <c r="CW34" s="336" t="s">
        <v>74</v>
      </c>
      <c r="CX34" s="336"/>
      <c r="CY34" s="336"/>
      <c r="CZ34" s="81">
        <f>IF(CY43=0,0,CZ33*100/CY43)</f>
        <v>0</v>
      </c>
      <c r="DA34" s="77" t="s">
        <v>56</v>
      </c>
      <c r="DB34" s="73"/>
      <c r="DC34" s="85"/>
      <c r="DD34" s="62"/>
      <c r="DE34" s="65"/>
      <c r="DF34" s="56"/>
      <c r="DG34" s="71" t="s">
        <v>49</v>
      </c>
      <c r="DH34" s="56"/>
      <c r="DI34" s="72">
        <f>DH34/($DH$47+0.00001)</f>
        <v>0</v>
      </c>
      <c r="DJ34" s="56">
        <f>IF(DI34&lt;80%,DH34,4*(DH33+DH32))</f>
        <v>0</v>
      </c>
      <c r="DK34" s="72">
        <f>DM34/(DL$53+0.00001)</f>
        <v>0</v>
      </c>
      <c r="DL34" s="56">
        <f>IF(OR($DJ$32=$DH$35,$DJ$33=$DH$35,$DJ$34=$DH$35,DI34=100%),0,DJ34)</f>
        <v>0</v>
      </c>
      <c r="DM34" s="60">
        <f>DL34</f>
        <v>0</v>
      </c>
      <c r="DN34" s="60"/>
      <c r="DO34" s="56"/>
      <c r="DP34" s="85"/>
      <c r="DQ34" s="56"/>
      <c r="DR34" s="65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63"/>
      <c r="EX34" s="56"/>
      <c r="EY34" s="63"/>
      <c r="EZ34" s="56"/>
      <c r="FA34" s="56"/>
    </row>
    <row r="35" spans="1:157" ht="16.5" customHeight="1" x14ac:dyDescent="0.25">
      <c r="A35" s="108"/>
      <c r="B35" s="108"/>
      <c r="C35" s="56"/>
      <c r="D35" s="56"/>
      <c r="E35" s="56"/>
      <c r="F35" s="56"/>
      <c r="G35" s="56"/>
      <c r="H35" s="56"/>
      <c r="I35" s="60"/>
      <c r="J35" s="60"/>
      <c r="K35" s="60"/>
      <c r="L35" s="105"/>
      <c r="M35" s="60"/>
      <c r="N35" s="60"/>
      <c r="O35" s="56"/>
      <c r="P35" s="56"/>
      <c r="Q35" s="56"/>
      <c r="R35" s="56"/>
      <c r="S35" s="56"/>
      <c r="T35" s="56"/>
      <c r="U35" s="56"/>
      <c r="V35" s="56"/>
      <c r="W35" s="60"/>
      <c r="X35" s="60"/>
      <c r="Y35" s="60"/>
      <c r="Z35" s="60"/>
      <c r="AA35" s="85" t="s">
        <v>84</v>
      </c>
      <c r="AB35" s="65">
        <f>IF(AB34=0,0,IF(B29+B30+B31&gt;AB34,AB34,B29+B30+B31))</f>
        <v>0</v>
      </c>
      <c r="AC35" s="65"/>
      <c r="AD35" s="56"/>
      <c r="AE35" s="331" t="s">
        <v>197</v>
      </c>
      <c r="AF35" s="331"/>
      <c r="AG35" s="331"/>
      <c r="AH35" s="331"/>
      <c r="AI35" s="331"/>
      <c r="AJ35" s="330" t="str">
        <f>IF(AF32&lt;=1.5,"!!!!!!!!!!!",AK28)</f>
        <v>!!!!!!!!!!!</v>
      </c>
      <c r="AK35" s="330"/>
      <c r="AL35" s="330"/>
      <c r="AM35" s="60"/>
      <c r="AN35" s="85" t="s">
        <v>84</v>
      </c>
      <c r="AO35" s="65">
        <f>IF(AO34=0,0,IF(AF28+AF29+AF30&gt;AO34,AO34,AF28+AF29+AF30))</f>
        <v>0</v>
      </c>
      <c r="AP35" s="66"/>
      <c r="AQ35" s="394" t="s">
        <v>136</v>
      </c>
      <c r="AR35" s="394"/>
      <c r="AS35" s="394"/>
      <c r="AT35" s="394"/>
      <c r="AU35" s="394"/>
      <c r="AV35" s="393">
        <f>AW31</f>
        <v>0</v>
      </c>
      <c r="AW35" s="393"/>
      <c r="AX35" s="393"/>
      <c r="AY35" s="57"/>
      <c r="AZ35" s="85"/>
      <c r="BA35" s="56"/>
      <c r="BB35" s="65"/>
      <c r="BC35" s="56"/>
      <c r="BD35" s="88" t="s">
        <v>67</v>
      </c>
      <c r="BE35" s="61">
        <f>SUM(BE31:BE34)</f>
        <v>0</v>
      </c>
      <c r="BF35" s="72"/>
      <c r="BG35" s="336" t="s">
        <v>74</v>
      </c>
      <c r="BH35" s="336"/>
      <c r="BI35" s="336"/>
      <c r="BJ35" s="81">
        <f>IF(BI44=0,0,BJ34*100/BI44)</f>
        <v>0</v>
      </c>
      <c r="BK35" s="77" t="s">
        <v>56</v>
      </c>
      <c r="BL35" s="59"/>
      <c r="BM35" s="85"/>
      <c r="BN35" s="62"/>
      <c r="BO35" s="65"/>
      <c r="BP35" s="56"/>
      <c r="BQ35" s="79" t="s">
        <v>53</v>
      </c>
      <c r="BR35" s="61">
        <f>SUM(BR32:BR34)</f>
        <v>150</v>
      </c>
      <c r="BS35" s="72"/>
      <c r="BT35" s="56"/>
      <c r="BU35" s="72"/>
      <c r="BV35" s="61" t="s">
        <v>55</v>
      </c>
      <c r="BW35" s="80">
        <f>CB56</f>
        <v>50</v>
      </c>
      <c r="BX35" s="60"/>
      <c r="BY35" s="56"/>
      <c r="BZ35" s="85" t="s">
        <v>95</v>
      </c>
      <c r="CA35" s="56"/>
      <c r="CB35" s="65">
        <f>0.1*CB33</f>
        <v>15</v>
      </c>
      <c r="CC35" s="56" t="e">
        <f>IF(#REF!="","",IF(#REF!="PF",#REF!,0))</f>
        <v>#REF!</v>
      </c>
      <c r="CD35" s="56" t="e">
        <f>IF(#REF!="","",IF(#REF!="PF",IF((#REF!+4)&lt;YEAR(#REF!),0,#REF!),0))</f>
        <v>#REF!</v>
      </c>
      <c r="CE35" s="56" t="e">
        <f>IF(#REF!="","",IF(AND(CD35&gt;0,#REF!&lt;&gt;""),CC35,0))</f>
        <v>#REF!</v>
      </c>
      <c r="CF35" s="56" t="e">
        <f>IF(#REF!="","",IF(AND($CE35&gt;0,#REF!= "GRENACHE N"),#REF!,0))</f>
        <v>#REF!</v>
      </c>
      <c r="CG35" s="56" t="e">
        <f>IF(#REF!="","",IF(AND($CE35&gt;0,#REF!="SYRAH N"),#REF!,0))</f>
        <v>#REF!</v>
      </c>
      <c r="CH35" s="56" t="e">
        <f>IF(#REF!="","",IF(AND($CE35&gt;0,#REF!="CINSAUT N"),#REF!,0))</f>
        <v>#REF!</v>
      </c>
      <c r="CI35" s="56" t="e">
        <f>IF(#REF!="","",IF(AND($CE35&gt;0,#REF!="TIBOUREN N"),#REF!,0))</f>
        <v>#REF!</v>
      </c>
      <c r="CJ35" s="56" t="e">
        <f>IF(#REF!="","",IF(AND($CE35&gt;0,#REF!="MOURVEDRE N"),#REF!,0))</f>
        <v>#REF!</v>
      </c>
      <c r="CK35" s="56" t="e">
        <f>IF(#REF!="","",IF(AND($CE35&gt;0,#REF!="CARIGNAN N"),#REF!,0))</f>
        <v>#REF!</v>
      </c>
      <c r="CL35" s="56" t="e">
        <f>IF(#REF!="","",IF(AND($CE35&gt;0,#REF!="CABERNET SAUVIGNON N"),#REF!,0))</f>
        <v>#REF!</v>
      </c>
      <c r="CM35" s="56" t="e">
        <f>IF(#REF!="","",IF(AND($CE35&gt;0,#REF!="VERMENTINO B"),#REF!,0))</f>
        <v>#REF!</v>
      </c>
      <c r="CN35" s="56" t="e">
        <f>IF(#REF!="","",IF(AND($CE35&gt;0,#REF!="UGNI BLANC B"),#REF!,0))</f>
        <v>#REF!</v>
      </c>
      <c r="CO35" s="56" t="e">
        <f>IF(#REF!="","",IF(AND($CE35&gt;0,#REF!="CLAIRETTE B"),#REF!,0))</f>
        <v>#REF!</v>
      </c>
      <c r="CP35" s="56" t="e">
        <f>IF(#REF!="","",IF(AND($CE35&gt;0,#REF!="semillon B"),#REF!,0))</f>
        <v>#REF!</v>
      </c>
      <c r="CQ35" s="56" t="e">
        <f>IF(#REF!="","",IF(CE35=0,CC35,0))</f>
        <v>#REF!</v>
      </c>
      <c r="CR35" s="56"/>
      <c r="CS35" s="56"/>
      <c r="CT35" s="56"/>
      <c r="CU35" s="56"/>
      <c r="CV35" s="61"/>
      <c r="CW35" s="326" t="s">
        <v>77</v>
      </c>
      <c r="CX35" s="326"/>
      <c r="CY35" s="326"/>
      <c r="CZ35" s="324">
        <f>IF(CU34&lt;CZ33,0,CU34-CZ33)</f>
        <v>0</v>
      </c>
      <c r="DA35" s="324"/>
      <c r="DB35" s="77"/>
      <c r="DC35" s="85" t="s">
        <v>75</v>
      </c>
      <c r="DD35" s="62"/>
      <c r="DE35" s="65">
        <f>CZ29+CZ33+DE29</f>
        <v>0</v>
      </c>
      <c r="DF35" s="56"/>
      <c r="DG35" s="79" t="s">
        <v>53</v>
      </c>
      <c r="DH35" s="61">
        <f>SUM(DH32:DH34)</f>
        <v>0</v>
      </c>
      <c r="DI35" s="72"/>
      <c r="DJ35" s="56"/>
      <c r="DK35" s="72"/>
      <c r="DL35" s="61"/>
      <c r="DM35" s="80"/>
      <c r="DN35" s="60"/>
      <c r="DO35" s="56"/>
      <c r="DP35" s="85" t="s">
        <v>95</v>
      </c>
      <c r="DQ35" s="56"/>
      <c r="DR35" s="65">
        <f>0.1*DR33</f>
        <v>0</v>
      </c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63"/>
      <c r="EX35" s="56"/>
      <c r="EY35" s="63"/>
      <c r="EZ35" s="56"/>
      <c r="FA35" s="56"/>
    </row>
    <row r="36" spans="1:157" ht="16.5" customHeight="1" x14ac:dyDescent="0.25">
      <c r="A36" s="56"/>
      <c r="B36" s="56"/>
      <c r="C36" s="56"/>
      <c r="D36" s="56"/>
      <c r="E36" s="56"/>
      <c r="F36" s="56"/>
      <c r="G36" s="56"/>
      <c r="H36" s="56"/>
      <c r="I36" s="97"/>
      <c r="J36" s="97"/>
      <c r="K36" s="149"/>
      <c r="L36" s="97"/>
      <c r="M36" s="97"/>
      <c r="N36" s="97"/>
      <c r="O36" s="70" t="s">
        <v>23</v>
      </c>
      <c r="P36" s="147" t="s">
        <v>24</v>
      </c>
      <c r="Q36" s="147"/>
      <c r="R36" s="332"/>
      <c r="S36" s="332"/>
      <c r="T36" s="332"/>
      <c r="U36" s="73"/>
      <c r="V36" s="73"/>
      <c r="W36" s="97"/>
      <c r="X36" s="97"/>
      <c r="Y36" s="97"/>
      <c r="Z36" s="97"/>
      <c r="AA36" s="85" t="s">
        <v>86</v>
      </c>
      <c r="AB36" s="65">
        <f>IF(AB35&gt;AB30,AB30,AB35)</f>
        <v>0</v>
      </c>
      <c r="AC36" s="65"/>
      <c r="AD36" s="56"/>
      <c r="AE36" s="331" t="s">
        <v>194</v>
      </c>
      <c r="AF36" s="331"/>
      <c r="AG36" s="331"/>
      <c r="AH36" s="331"/>
      <c r="AI36" s="331"/>
      <c r="AJ36" s="330" t="str">
        <f>IF(AF32&lt;=1.5,"!!!!!!!!!!!",AK12+AK15+AK18+AK21+AK24+AK28)</f>
        <v>!!!!!!!!!!!</v>
      </c>
      <c r="AK36" s="330"/>
      <c r="AL36" s="330"/>
      <c r="AM36" s="97"/>
      <c r="AN36" s="85" t="s">
        <v>86</v>
      </c>
      <c r="AO36" s="65">
        <f>IF(AO35&gt;AO30,AO30,AO35)</f>
        <v>0</v>
      </c>
      <c r="AP36" s="56"/>
      <c r="AQ36" s="331" t="s">
        <v>137</v>
      </c>
      <c r="AR36" s="331"/>
      <c r="AS36" s="331"/>
      <c r="AT36" s="331"/>
      <c r="AU36" s="331"/>
      <c r="AV36" s="330">
        <f>AW33</f>
        <v>0</v>
      </c>
      <c r="AW36" s="330"/>
      <c r="AX36" s="330"/>
      <c r="AY36" s="59"/>
      <c r="AZ36" s="85"/>
      <c r="BA36" s="56"/>
      <c r="BB36" s="65"/>
      <c r="BC36" s="66"/>
      <c r="BD36" s="56"/>
      <c r="BE36" s="56"/>
      <c r="BF36" s="72"/>
      <c r="BG36" s="326" t="s">
        <v>77</v>
      </c>
      <c r="BH36" s="326"/>
      <c r="BI36" s="326"/>
      <c r="BJ36" s="73">
        <f>IF(BE35&lt;BJ34,0,BE35-BJ34)</f>
        <v>0</v>
      </c>
      <c r="BK36" s="73"/>
      <c r="BL36" s="60"/>
      <c r="BM36" s="85" t="s">
        <v>75</v>
      </c>
      <c r="BN36" s="62"/>
      <c r="BO36" s="65">
        <f>BJ30+BJ34+BO31</f>
        <v>0</v>
      </c>
      <c r="BP36" s="56"/>
      <c r="BQ36" s="56"/>
      <c r="BR36" s="56"/>
      <c r="BS36" s="61"/>
      <c r="BT36" s="61"/>
      <c r="BU36" s="72"/>
      <c r="BV36" s="56"/>
      <c r="BW36" s="82"/>
      <c r="BX36" s="82"/>
      <c r="BY36" s="56"/>
      <c r="BZ36" s="85" t="s">
        <v>84</v>
      </c>
      <c r="CA36" s="56"/>
      <c r="CB36" s="75">
        <f>IF(CB35=0,0,IF(BR16+BR17+BR18&gt;CB35,CB35,BR16+BR17+BR18))</f>
        <v>0</v>
      </c>
      <c r="CC36" s="56" t="e">
        <f>IF(#REF!="","",IF(#REF!="PF",#REF!,0))</f>
        <v>#REF!</v>
      </c>
      <c r="CD36" s="56" t="e">
        <f>IF(#REF!="","",IF(#REF!="PF",IF((#REF!+4)&lt;YEAR(#REF!),0,#REF!),0))</f>
        <v>#REF!</v>
      </c>
      <c r="CE36" s="56" t="e">
        <f>IF(#REF!="","",IF(AND(CD36&gt;0,#REF!&lt;&gt;""),CC36,0))</f>
        <v>#REF!</v>
      </c>
      <c r="CF36" s="56" t="e">
        <f>IF(#REF!="","",IF(AND($CE36&gt;0,#REF!= "GRENACHE N"),#REF!,0))</f>
        <v>#REF!</v>
      </c>
      <c r="CG36" s="56" t="e">
        <f>IF(#REF!="","",IF(AND($CE36&gt;0,#REF!="SYRAH N"),#REF!,0))</f>
        <v>#REF!</v>
      </c>
      <c r="CH36" s="56" t="e">
        <f>IF(#REF!="","",IF(AND($CE36&gt;0,#REF!="CINSAUT N"),#REF!,0))</f>
        <v>#REF!</v>
      </c>
      <c r="CI36" s="56" t="e">
        <f>IF(#REF!="","",IF(AND($CE36&gt;0,#REF!="TIBOUREN N"),#REF!,0))</f>
        <v>#REF!</v>
      </c>
      <c r="CJ36" s="56" t="e">
        <f>IF(#REF!="","",IF(AND($CE36&gt;0,#REF!="MOURVEDRE N"),#REF!,0))</f>
        <v>#REF!</v>
      </c>
      <c r="CK36" s="56" t="e">
        <f>IF(#REF!="","",IF(AND($CE36&gt;0,#REF!="CARIGNAN N"),#REF!,0))</f>
        <v>#REF!</v>
      </c>
      <c r="CL36" s="56" t="e">
        <f>IF(#REF!="","",IF(AND($CE36&gt;0,#REF!="CABERNET SAUVIGNON N"),#REF!,0))</f>
        <v>#REF!</v>
      </c>
      <c r="CM36" s="56" t="e">
        <f>IF(#REF!="","",IF(AND($CE36&gt;0,#REF!="VERMENTINO B"),#REF!,0))</f>
        <v>#REF!</v>
      </c>
      <c r="CN36" s="56" t="e">
        <f>IF(#REF!="","",IF(AND($CE36&gt;0,#REF!="UGNI BLANC B"),#REF!,0))</f>
        <v>#REF!</v>
      </c>
      <c r="CO36" s="56" t="e">
        <f>IF(#REF!="","",IF(AND($CE36&gt;0,#REF!="CLAIRETTE B"),#REF!,0))</f>
        <v>#REF!</v>
      </c>
      <c r="CP36" s="56" t="e">
        <f>IF(#REF!="","",IF(AND($CE36&gt;0,#REF!="semillon B"),#REF!,0))</f>
        <v>#REF!</v>
      </c>
      <c r="CQ36" s="56" t="e">
        <f>IF(#REF!="","",IF(CE36=0,CC36,0))</f>
        <v>#REF!</v>
      </c>
      <c r="CR36" s="56"/>
      <c r="CS36" s="56"/>
      <c r="CT36" s="93" t="s">
        <v>126</v>
      </c>
      <c r="CU36" s="56"/>
      <c r="CV36" s="61"/>
      <c r="CW36" s="56"/>
      <c r="CX36" s="56"/>
      <c r="CY36" s="56"/>
      <c r="CZ36" s="56"/>
      <c r="DA36" s="56"/>
      <c r="DB36" s="73"/>
      <c r="DC36" s="85" t="s">
        <v>78</v>
      </c>
      <c r="DD36" s="66"/>
      <c r="DE36" s="65">
        <f>CZ29+CZ33+DE32</f>
        <v>0</v>
      </c>
      <c r="DF36" s="56"/>
      <c r="DG36" s="56"/>
      <c r="DH36" s="56"/>
      <c r="DI36" s="61"/>
      <c r="DJ36" s="61"/>
      <c r="DK36" s="72"/>
      <c r="DL36" s="56"/>
      <c r="DM36" s="82"/>
      <c r="DN36" s="82"/>
      <c r="DO36" s="56"/>
      <c r="DP36" s="85" t="s">
        <v>84</v>
      </c>
      <c r="DQ36" s="56"/>
      <c r="DR36" s="75">
        <f>IF(DR35=0,0,IF(DH16+DH17+DH18&gt;DR35,DR35,DH16+DH17+DH18))</f>
        <v>0</v>
      </c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103"/>
      <c r="EY36" s="63"/>
      <c r="EZ36" s="56"/>
      <c r="FA36" s="56"/>
    </row>
    <row r="37" spans="1:157" ht="15.75" customHeight="1" x14ac:dyDescent="0.25">
      <c r="A37" s="56"/>
      <c r="B37" s="56"/>
      <c r="C37" s="56"/>
      <c r="D37" s="56"/>
      <c r="E37" s="56"/>
      <c r="F37" s="56"/>
      <c r="G37" s="56"/>
      <c r="H37" s="56"/>
      <c r="I37" s="97"/>
      <c r="J37" s="97"/>
      <c r="K37" s="97"/>
      <c r="L37" s="97"/>
      <c r="M37" s="97"/>
      <c r="N37" s="97"/>
      <c r="O37" s="93" t="s">
        <v>126</v>
      </c>
      <c r="P37" s="65">
        <f>B28</f>
        <v>0</v>
      </c>
      <c r="Q37" s="65"/>
      <c r="R37" s="56"/>
      <c r="S37" s="56"/>
      <c r="T37" s="56"/>
      <c r="U37" s="56"/>
      <c r="V37" s="56"/>
      <c r="W37" s="97"/>
      <c r="X37" s="97"/>
      <c r="Y37" s="97"/>
      <c r="Z37" s="97"/>
      <c r="AA37" s="85" t="s">
        <v>88</v>
      </c>
      <c r="AB37" s="86">
        <f>AB30-AB36</f>
        <v>0</v>
      </c>
      <c r="AC37" s="67"/>
      <c r="AD37" s="56"/>
      <c r="AE37" s="56"/>
      <c r="AF37" s="56"/>
      <c r="AG37" s="56"/>
      <c r="AH37" s="56"/>
      <c r="AI37" s="56"/>
      <c r="AJ37" s="56"/>
      <c r="AK37" s="56"/>
      <c r="AL37" s="56"/>
      <c r="AM37" s="97"/>
      <c r="AN37" s="85" t="s">
        <v>88</v>
      </c>
      <c r="AO37" s="86">
        <f>AO30-AO36</f>
        <v>0</v>
      </c>
      <c r="AP37" s="56"/>
      <c r="AQ37" s="56"/>
      <c r="AR37" s="56"/>
      <c r="AS37" s="56"/>
      <c r="AT37" s="56"/>
      <c r="AU37" s="56"/>
      <c r="AV37" s="56"/>
      <c r="AW37" s="56"/>
      <c r="AX37" s="56"/>
      <c r="AY37" s="60"/>
      <c r="AZ37" s="85"/>
      <c r="BA37" s="56"/>
      <c r="BB37" s="65"/>
      <c r="BC37" s="56"/>
      <c r="BD37" s="93" t="s">
        <v>126</v>
      </c>
      <c r="BE37" s="56"/>
      <c r="BF37" s="72"/>
      <c r="BG37" s="89"/>
      <c r="BH37" s="89"/>
      <c r="BI37" s="89"/>
      <c r="BJ37" s="73"/>
      <c r="BK37" s="73"/>
      <c r="BL37" s="60"/>
      <c r="BM37" s="85" t="s">
        <v>78</v>
      </c>
      <c r="BN37" s="66"/>
      <c r="BO37" s="65">
        <f>BJ30+BJ34+BO33</f>
        <v>0</v>
      </c>
      <c r="BP37" s="56"/>
      <c r="BQ37" s="83" t="s">
        <v>61</v>
      </c>
      <c r="BR37" s="56">
        <f>BR10</f>
        <v>0</v>
      </c>
      <c r="BS37" s="62"/>
      <c r="BT37" s="328" t="s">
        <v>58</v>
      </c>
      <c r="BU37" s="328"/>
      <c r="BV37" s="328"/>
      <c r="BW37" s="324">
        <f>SUM(BW32,BW33,BW35)</f>
        <v>150</v>
      </c>
      <c r="BX37" s="324"/>
      <c r="BY37" s="56"/>
      <c r="BZ37" s="85"/>
      <c r="CA37" s="56"/>
      <c r="CB37" s="65"/>
      <c r="CC37" s="56" t="e">
        <f>IF(#REF!="","",IF(#REF!="PF",#REF!,0))</f>
        <v>#REF!</v>
      </c>
      <c r="CD37" s="56" t="e">
        <f>IF(#REF!="","",IF(#REF!="PF",IF((#REF!+4)&lt;YEAR(#REF!),0,#REF!),0))</f>
        <v>#REF!</v>
      </c>
      <c r="CE37" s="56" t="e">
        <f>IF(#REF!="","",IF(AND(CD37&gt;0,#REF!&lt;&gt;""),CC37,0))</f>
        <v>#REF!</v>
      </c>
      <c r="CF37" s="56" t="e">
        <f>IF(#REF!="","",IF(AND($CE37&gt;0,#REF!= "GRENACHE N"),#REF!,0))</f>
        <v>#REF!</v>
      </c>
      <c r="CG37" s="56" t="e">
        <f>IF(#REF!="","",IF(AND($CE37&gt;0,#REF!="SYRAH N"),#REF!,0))</f>
        <v>#REF!</v>
      </c>
      <c r="CH37" s="56" t="e">
        <f>IF(#REF!="","",IF(AND($CE37&gt;0,#REF!="CINSAUT N"),#REF!,0))</f>
        <v>#REF!</v>
      </c>
      <c r="CI37" s="56" t="e">
        <f>IF(#REF!="","",IF(AND($CE37&gt;0,#REF!="TIBOUREN N"),#REF!,0))</f>
        <v>#REF!</v>
      </c>
      <c r="CJ37" s="56" t="e">
        <f>IF(#REF!="","",IF(AND($CE37&gt;0,#REF!="MOURVEDRE N"),#REF!,0))</f>
        <v>#REF!</v>
      </c>
      <c r="CK37" s="56" t="e">
        <f>IF(#REF!="","",IF(AND($CE37&gt;0,#REF!="CARIGNAN N"),#REF!,0))</f>
        <v>#REF!</v>
      </c>
      <c r="CL37" s="56" t="e">
        <f>IF(#REF!="","",IF(AND($CE37&gt;0,#REF!="CABERNET SAUVIGNON N"),#REF!,0))</f>
        <v>#REF!</v>
      </c>
      <c r="CM37" s="56" t="e">
        <f>IF(#REF!="","",IF(AND($CE37&gt;0,#REF!="VERMENTINO B"),#REF!,0))</f>
        <v>#REF!</v>
      </c>
      <c r="CN37" s="56" t="e">
        <f>IF(#REF!="","",IF(AND($CE37&gt;0,#REF!="UGNI BLANC B"),#REF!,0))</f>
        <v>#REF!</v>
      </c>
      <c r="CO37" s="56" t="e">
        <f>IF(#REF!="","",IF(AND($CE37&gt;0,#REF!="CLAIRETTE B"),#REF!,0))</f>
        <v>#REF!</v>
      </c>
      <c r="CP37" s="56" t="e">
        <f>IF(#REF!="","",IF(AND($CE37&gt;0,#REF!="semillon B"),#REF!,0))</f>
        <v>#REF!</v>
      </c>
      <c r="CQ37" s="56" t="e">
        <f>IF(#REF!="","",IF(CE37=0,CC37,0))</f>
        <v>#REF!</v>
      </c>
      <c r="CR37" s="56"/>
      <c r="CS37" s="56"/>
      <c r="CT37" s="95" t="s">
        <v>123</v>
      </c>
      <c r="CU37" s="56"/>
      <c r="CV37" s="61"/>
      <c r="CW37" s="328" t="s">
        <v>83</v>
      </c>
      <c r="CX37" s="328"/>
      <c r="CY37" s="328"/>
      <c r="CZ37" s="324">
        <f>IF(OR(DE42&gt;DE41,DE42=DE41),DE43,DE51)</f>
        <v>0</v>
      </c>
      <c r="DA37" s="324"/>
      <c r="DB37" s="73"/>
      <c r="DC37" s="66"/>
      <c r="DD37" s="66"/>
      <c r="DE37" s="65"/>
      <c r="DF37" s="56"/>
      <c r="DG37" s="83" t="s">
        <v>61</v>
      </c>
      <c r="DH37" s="56"/>
      <c r="DI37" s="62"/>
      <c r="DJ37" s="328" t="s">
        <v>58</v>
      </c>
      <c r="DK37" s="328"/>
      <c r="DL37" s="328"/>
      <c r="DM37" s="324">
        <f>SUM(DM32,DM33,DM34)</f>
        <v>0</v>
      </c>
      <c r="DN37" s="324"/>
      <c r="DO37" s="56"/>
      <c r="DP37" s="85"/>
      <c r="DQ37" s="56"/>
      <c r="DR37" s="65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Z37" s="56"/>
      <c r="FA37" s="56"/>
    </row>
    <row r="38" spans="1:157" ht="15.75" customHeight="1" x14ac:dyDescent="0.25">
      <c r="A38" s="56"/>
      <c r="B38" s="56"/>
      <c r="C38" s="56"/>
      <c r="D38" s="56"/>
      <c r="E38" s="56"/>
      <c r="F38" s="56"/>
      <c r="G38" s="56"/>
      <c r="H38" s="56"/>
      <c r="I38" s="60"/>
      <c r="J38" s="60"/>
      <c r="K38" s="60"/>
      <c r="L38" s="60"/>
      <c r="M38" s="60"/>
      <c r="N38" s="60"/>
      <c r="O38" s="95" t="s">
        <v>123</v>
      </c>
      <c r="P38" s="65">
        <f>B29</f>
        <v>0</v>
      </c>
      <c r="Q38" s="65"/>
      <c r="R38" s="56"/>
      <c r="S38" s="56"/>
      <c r="T38" s="56"/>
      <c r="U38" s="56"/>
      <c r="V38" s="56"/>
      <c r="W38" s="60"/>
      <c r="X38" s="60"/>
      <c r="Y38" s="60"/>
      <c r="Z38" s="60"/>
      <c r="AA38" s="85" t="s">
        <v>89</v>
      </c>
      <c r="AB38" s="65">
        <f>IF(B28=0,0,IF(B28&gt;AB37,AB37,B28))</f>
        <v>0</v>
      </c>
      <c r="AC38" s="65"/>
      <c r="AD38" s="56"/>
      <c r="AE38" s="56"/>
      <c r="AF38" s="56"/>
      <c r="AG38" s="56"/>
      <c r="AH38" s="56"/>
      <c r="AI38" s="56"/>
      <c r="AJ38" s="56"/>
      <c r="AK38" s="56"/>
      <c r="AL38" s="56"/>
      <c r="AM38" s="60"/>
      <c r="AN38" s="85" t="s">
        <v>89</v>
      </c>
      <c r="AO38" s="65">
        <f>IF(AF27=0,0,IF(AF27&gt;AO37,AO37,AF27))</f>
        <v>0</v>
      </c>
      <c r="AP38" s="56"/>
      <c r="AQ38" s="56"/>
      <c r="AR38" s="56"/>
      <c r="AS38" s="56"/>
      <c r="AT38" s="56"/>
      <c r="AU38" s="56"/>
      <c r="AV38" s="56"/>
      <c r="AW38" s="56"/>
      <c r="AX38" s="56"/>
      <c r="AY38" s="60"/>
      <c r="AZ38" s="85"/>
      <c r="BA38" s="56"/>
      <c r="BB38" s="65"/>
      <c r="BC38" s="56"/>
      <c r="BD38" s="95" t="s">
        <v>123</v>
      </c>
      <c r="BE38" s="56"/>
      <c r="BF38" s="72"/>
      <c r="BG38" s="328" t="s">
        <v>83</v>
      </c>
      <c r="BH38" s="328"/>
      <c r="BI38" s="328"/>
      <c r="BJ38" s="73">
        <f>IF(OR(BO54&gt;BO53,BO54=BO53),BO55,BO63)</f>
        <v>0</v>
      </c>
      <c r="BK38" s="73"/>
      <c r="BL38" s="60"/>
      <c r="BM38" s="66"/>
      <c r="BN38" s="66"/>
      <c r="BO38" s="65"/>
      <c r="BP38" s="56"/>
      <c r="BQ38" s="83" t="s">
        <v>125</v>
      </c>
      <c r="BR38" s="56">
        <f>BR11</f>
        <v>0</v>
      </c>
      <c r="BS38" s="56"/>
      <c r="BT38" s="336" t="s">
        <v>97</v>
      </c>
      <c r="BU38" s="336"/>
      <c r="BV38" s="336"/>
      <c r="BW38" s="81">
        <f>IF(BV53=0,0,BW37*100/BV53)</f>
        <v>100</v>
      </c>
      <c r="BX38" s="77" t="s">
        <v>56</v>
      </c>
      <c r="BY38" s="56"/>
      <c r="BZ38" s="85" t="s">
        <v>88</v>
      </c>
      <c r="CA38" s="56"/>
      <c r="CB38" s="65">
        <f>CB22-CB36</f>
        <v>0</v>
      </c>
      <c r="CC38" s="56" t="e">
        <f>IF(#REF!="","",IF(#REF!="PF",#REF!,0))</f>
        <v>#REF!</v>
      </c>
      <c r="CD38" s="56" t="e">
        <f>IF(#REF!="","",IF(#REF!="PF",IF((#REF!+4)&lt;YEAR(#REF!),0,#REF!),0))</f>
        <v>#REF!</v>
      </c>
      <c r="CE38" s="56" t="e">
        <f>IF(#REF!="","",IF(AND(CD38&gt;0,#REF!&lt;&gt;""),CC38,0))</f>
        <v>#REF!</v>
      </c>
      <c r="CF38" s="56" t="e">
        <f>IF(#REF!="","",IF(AND($CE38&gt;0,#REF!= "GRENACHE N"),#REF!,0))</f>
        <v>#REF!</v>
      </c>
      <c r="CG38" s="56" t="e">
        <f>IF(#REF!="","",IF(AND($CE38&gt;0,#REF!="SYRAH N"),#REF!,0))</f>
        <v>#REF!</v>
      </c>
      <c r="CH38" s="56" t="e">
        <f>IF(#REF!="","",IF(AND($CE38&gt;0,#REF!="CINSAUT N"),#REF!,0))</f>
        <v>#REF!</v>
      </c>
      <c r="CI38" s="56" t="e">
        <f>IF(#REF!="","",IF(AND($CE38&gt;0,#REF!="TIBOUREN N"),#REF!,0))</f>
        <v>#REF!</v>
      </c>
      <c r="CJ38" s="56" t="e">
        <f>IF(#REF!="","",IF(AND($CE38&gt;0,#REF!="MOURVEDRE N"),#REF!,0))</f>
        <v>#REF!</v>
      </c>
      <c r="CK38" s="56" t="e">
        <f>IF(#REF!="","",IF(AND($CE38&gt;0,#REF!="CARIGNAN N"),#REF!,0))</f>
        <v>#REF!</v>
      </c>
      <c r="CL38" s="56" t="e">
        <f>IF(#REF!="","",IF(AND($CE38&gt;0,#REF!="CABERNET SAUVIGNON N"),#REF!,0))</f>
        <v>#REF!</v>
      </c>
      <c r="CM38" s="56" t="e">
        <f>IF(#REF!="","",IF(AND($CE38&gt;0,#REF!="VERMENTINO B"),#REF!,0))</f>
        <v>#REF!</v>
      </c>
      <c r="CN38" s="56" t="e">
        <f>IF(#REF!="","",IF(AND($CE38&gt;0,#REF!="UGNI BLANC B"),#REF!,0))</f>
        <v>#REF!</v>
      </c>
      <c r="CO38" s="56" t="e">
        <f>IF(#REF!="","",IF(AND($CE38&gt;0,#REF!="CLAIRETTE B"),#REF!,0))</f>
        <v>#REF!</v>
      </c>
      <c r="CP38" s="56" t="e">
        <f>IF(#REF!="","",IF(AND($CE38&gt;0,#REF!="semillon B"),#REF!,0))</f>
        <v>#REF!</v>
      </c>
      <c r="CQ38" s="56" t="e">
        <f>IF(#REF!="","",IF(CE38=0,CC38,0))</f>
        <v>#REF!</v>
      </c>
      <c r="CR38" s="56"/>
      <c r="CS38" s="56"/>
      <c r="CT38" s="95" t="s">
        <v>127</v>
      </c>
      <c r="CU38" s="56"/>
      <c r="CV38" s="98"/>
      <c r="CW38" s="336" t="s">
        <v>74</v>
      </c>
      <c r="CX38" s="336"/>
      <c r="CY38" s="336"/>
      <c r="CZ38" s="81">
        <f>IF(CY43=0,0,CZ37*100/CY43)</f>
        <v>0</v>
      </c>
      <c r="DA38" s="77" t="s">
        <v>56</v>
      </c>
      <c r="DB38" s="73"/>
      <c r="DC38" s="85" t="s">
        <v>81</v>
      </c>
      <c r="DD38" s="66"/>
      <c r="DE38" s="65">
        <f>(CU37+CU38+CU39)-(1/0.9)*(CU37+CU38+CU39)+(0.1/0.9)*(CZ29+CZ33+CU37+CU38+CU39+CU36)</f>
        <v>0</v>
      </c>
      <c r="DF38" s="56"/>
      <c r="DG38" s="83" t="s">
        <v>125</v>
      </c>
      <c r="DH38" s="56"/>
      <c r="DI38" s="56"/>
      <c r="DJ38" s="336" t="s">
        <v>97</v>
      </c>
      <c r="DK38" s="336"/>
      <c r="DL38" s="336"/>
      <c r="DM38" s="81">
        <f>IF(DL53=0,0,DM37*100/DL53)</f>
        <v>0</v>
      </c>
      <c r="DN38" s="77" t="s">
        <v>56</v>
      </c>
      <c r="DO38" s="56"/>
      <c r="DP38" s="85" t="s">
        <v>88</v>
      </c>
      <c r="DQ38" s="56"/>
      <c r="DR38" s="65">
        <f>DR22-DR36</f>
        <v>0</v>
      </c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</row>
    <row r="39" spans="1:157" ht="15.75" customHeight="1" x14ac:dyDescent="0.25">
      <c r="A39" s="56"/>
      <c r="B39" s="56"/>
      <c r="C39" s="56"/>
      <c r="D39" s="56"/>
      <c r="E39" s="56"/>
      <c r="F39" s="56"/>
      <c r="G39" s="56"/>
      <c r="H39" s="56"/>
      <c r="I39" s="97"/>
      <c r="J39" s="97"/>
      <c r="K39" s="97"/>
      <c r="L39" s="97"/>
      <c r="M39" s="97"/>
      <c r="N39" s="97"/>
      <c r="O39" s="95" t="s">
        <v>127</v>
      </c>
      <c r="P39" s="65">
        <f>B30</f>
        <v>0</v>
      </c>
      <c r="Q39" s="65"/>
      <c r="R39" s="84"/>
      <c r="S39" s="84"/>
      <c r="T39" s="84"/>
      <c r="U39" s="81"/>
      <c r="V39" s="77"/>
      <c r="W39" s="97"/>
      <c r="X39" s="97"/>
      <c r="Y39" s="97"/>
      <c r="Z39" s="97"/>
      <c r="AA39" s="85" t="s">
        <v>92</v>
      </c>
      <c r="AB39" s="65">
        <f>AB38+AB36</f>
        <v>0</v>
      </c>
      <c r="AC39" s="65"/>
      <c r="AD39" s="56"/>
      <c r="AE39" s="327" t="s">
        <v>201</v>
      </c>
      <c r="AF39" s="327"/>
      <c r="AG39" s="327"/>
      <c r="AH39" s="327"/>
      <c r="AI39" s="327"/>
      <c r="AJ39" s="327"/>
      <c r="AK39" s="327"/>
      <c r="AL39" s="327"/>
      <c r="AM39" s="97"/>
      <c r="AN39" s="85" t="s">
        <v>92</v>
      </c>
      <c r="AO39" s="65">
        <f>AO38+AO36</f>
        <v>0</v>
      </c>
      <c r="AP39" s="56"/>
      <c r="AQ39" s="57"/>
      <c r="AR39" s="61"/>
      <c r="AS39" s="61"/>
      <c r="AT39" s="61"/>
      <c r="AU39" s="72"/>
      <c r="AV39" s="56"/>
      <c r="AW39" s="82"/>
      <c r="AX39" s="82"/>
      <c r="AY39" s="60"/>
      <c r="AZ39" s="85"/>
      <c r="BA39" s="56"/>
      <c r="BB39" s="65"/>
      <c r="BC39" s="56"/>
      <c r="BD39" s="95" t="s">
        <v>127</v>
      </c>
      <c r="BE39" s="56"/>
      <c r="BF39" s="72"/>
      <c r="BG39" s="336" t="s">
        <v>74</v>
      </c>
      <c r="BH39" s="336"/>
      <c r="BI39" s="336"/>
      <c r="BJ39" s="81">
        <f>IF(BI44=0,0,BJ38*100/BI44)</f>
        <v>0</v>
      </c>
      <c r="BK39" s="77" t="s">
        <v>56</v>
      </c>
      <c r="BL39" s="60"/>
      <c r="BM39" s="66"/>
      <c r="BN39" s="66"/>
      <c r="BO39" s="65"/>
      <c r="BP39" s="56"/>
      <c r="BQ39" s="87" t="s">
        <v>124</v>
      </c>
      <c r="BR39" s="56">
        <f>BR12</f>
        <v>0</v>
      </c>
      <c r="BS39" s="56"/>
      <c r="BT39" s="326" t="s">
        <v>64</v>
      </c>
      <c r="BU39" s="326"/>
      <c r="BV39" s="326"/>
      <c r="BW39" s="324">
        <f>IF(BR35&lt;BW37,0,BR35-BW37)</f>
        <v>0</v>
      </c>
      <c r="BX39" s="324"/>
      <c r="BY39" s="56"/>
      <c r="BZ39" s="85"/>
      <c r="CA39" s="56"/>
      <c r="CB39" s="65"/>
      <c r="CC39" s="56" t="e">
        <f>IF(#REF!="","",IF(#REF!="PF",#REF!,0))</f>
        <v>#REF!</v>
      </c>
      <c r="CD39" s="56" t="e">
        <f>IF(#REF!="","",IF(#REF!="PF",IF((#REF!+4)&lt;YEAR(#REF!),0,#REF!),0))</f>
        <v>#REF!</v>
      </c>
      <c r="CE39" s="56" t="e">
        <f>IF(#REF!="","",IF(AND(CD39&gt;0,#REF!&lt;&gt;""),CC39,0))</f>
        <v>#REF!</v>
      </c>
      <c r="CF39" s="56" t="e">
        <f>IF(#REF!="","",IF(AND($CE39&gt;0,#REF!= "GRENACHE N"),#REF!,0))</f>
        <v>#REF!</v>
      </c>
      <c r="CG39" s="56" t="e">
        <f>IF(#REF!="","",IF(AND($CE39&gt;0,#REF!="SYRAH N"),#REF!,0))</f>
        <v>#REF!</v>
      </c>
      <c r="CH39" s="56" t="e">
        <f>IF(#REF!="","",IF(AND($CE39&gt;0,#REF!="CINSAUT N"),#REF!,0))</f>
        <v>#REF!</v>
      </c>
      <c r="CI39" s="56" t="e">
        <f>IF(#REF!="","",IF(AND($CE39&gt;0,#REF!="TIBOUREN N"),#REF!,0))</f>
        <v>#REF!</v>
      </c>
      <c r="CJ39" s="56" t="e">
        <f>IF(#REF!="","",IF(AND($CE39&gt;0,#REF!="MOURVEDRE N"),#REF!,0))</f>
        <v>#REF!</v>
      </c>
      <c r="CK39" s="56" t="e">
        <f>IF(#REF!="","",IF(AND($CE39&gt;0,#REF!="CARIGNAN N"),#REF!,0))</f>
        <v>#REF!</v>
      </c>
      <c r="CL39" s="56" t="e">
        <f>IF(#REF!="","",IF(AND($CE39&gt;0,#REF!="CABERNET SAUVIGNON N"),#REF!,0))</f>
        <v>#REF!</v>
      </c>
      <c r="CM39" s="56" t="e">
        <f>IF(#REF!="","",IF(AND($CE39&gt;0,#REF!="VERMENTINO B"),#REF!,0))</f>
        <v>#REF!</v>
      </c>
      <c r="CN39" s="56" t="e">
        <f>IF(#REF!="","",IF(AND($CE39&gt;0,#REF!="UGNI BLANC B"),#REF!,0))</f>
        <v>#REF!</v>
      </c>
      <c r="CO39" s="56" t="e">
        <f>IF(#REF!="","",IF(AND($CE39&gt;0,#REF!="CLAIRETTE B"),#REF!,0))</f>
        <v>#REF!</v>
      </c>
      <c r="CP39" s="56" t="e">
        <f>IF(#REF!="","",IF(AND($CE39&gt;0,#REF!="semillon B"),#REF!,0))</f>
        <v>#REF!</v>
      </c>
      <c r="CQ39" s="56" t="e">
        <f>IF(#REF!="","",IF(CE39=0,CC39,0))</f>
        <v>#REF!</v>
      </c>
      <c r="CR39" s="56"/>
      <c r="CS39" s="56"/>
      <c r="CT39" s="95" t="s">
        <v>82</v>
      </c>
      <c r="CU39" s="56"/>
      <c r="CV39" s="56"/>
      <c r="CW39" s="336" t="s">
        <v>87</v>
      </c>
      <c r="CX39" s="336"/>
      <c r="CY39" s="336"/>
      <c r="CZ39" s="324">
        <f>IF(OR(DE42&gt;DE41,DE42=DE41),DE40,DE47)</f>
        <v>0</v>
      </c>
      <c r="DA39" s="324"/>
      <c r="DB39" s="77"/>
      <c r="DC39" s="85" t="s">
        <v>84</v>
      </c>
      <c r="DD39" s="66"/>
      <c r="DE39" s="65">
        <f>IF(DE38=0,0,IF(CU37+CU38+CU39&gt;DE38,DE38,CU37+CU38+CU39))</f>
        <v>0</v>
      </c>
      <c r="DF39" s="56"/>
      <c r="DG39" s="87" t="s">
        <v>124</v>
      </c>
      <c r="DH39" s="56"/>
      <c r="DI39" s="56"/>
      <c r="DJ39" s="326" t="s">
        <v>64</v>
      </c>
      <c r="DK39" s="326"/>
      <c r="DL39" s="326"/>
      <c r="DM39" s="324">
        <f>IF(DH35&lt;DM37,0,DH35-DM37)</f>
        <v>0</v>
      </c>
      <c r="DN39" s="324"/>
      <c r="DO39" s="56"/>
      <c r="DP39" s="85" t="s">
        <v>89</v>
      </c>
      <c r="DQ39" s="56"/>
      <c r="DR39" s="65">
        <f>IF(DH15=0,0,IF(DH15&gt;DR38,DR38,DH15))</f>
        <v>0</v>
      </c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</row>
    <row r="40" spans="1:157" ht="16.5" customHeight="1" x14ac:dyDescent="0.25">
      <c r="A40" s="56"/>
      <c r="B40" s="56"/>
      <c r="C40" s="56"/>
      <c r="D40" s="56"/>
      <c r="E40" s="56"/>
      <c r="F40" s="56"/>
      <c r="G40" s="56"/>
      <c r="H40" s="56"/>
      <c r="I40" s="97"/>
      <c r="J40" s="97"/>
      <c r="K40" s="97"/>
      <c r="L40" s="97"/>
      <c r="M40" s="97"/>
      <c r="N40" s="97"/>
      <c r="O40" s="95" t="s">
        <v>82</v>
      </c>
      <c r="P40" s="65">
        <f>B31</f>
        <v>0</v>
      </c>
      <c r="Q40" s="65"/>
      <c r="R40" s="89"/>
      <c r="S40" s="89"/>
      <c r="T40" s="89"/>
      <c r="U40" s="73"/>
      <c r="V40" s="73"/>
      <c r="W40" s="97"/>
      <c r="X40" s="97"/>
      <c r="Y40" s="97"/>
      <c r="Z40" s="97"/>
      <c r="AA40" s="85" t="s">
        <v>78</v>
      </c>
      <c r="AB40" s="65">
        <f>R6+R9+R12+R15+R18+AB39</f>
        <v>0</v>
      </c>
      <c r="AC40" s="65"/>
      <c r="AD40" s="56"/>
      <c r="AE40" s="327"/>
      <c r="AF40" s="327"/>
      <c r="AG40" s="327"/>
      <c r="AH40" s="327"/>
      <c r="AI40" s="327"/>
      <c r="AJ40" s="327"/>
      <c r="AK40" s="327"/>
      <c r="AL40" s="327"/>
      <c r="AM40" s="97"/>
      <c r="AN40" s="85" t="s">
        <v>78</v>
      </c>
      <c r="AO40" s="65">
        <f>AK11+AK14+AK17+AK20+AK23+AO39</f>
        <v>0</v>
      </c>
      <c r="AP40" s="56"/>
      <c r="AQ40" s="57"/>
      <c r="AR40" s="61"/>
      <c r="AS40" s="61"/>
      <c r="AT40" s="61"/>
      <c r="AU40" s="72"/>
      <c r="AV40" s="56"/>
      <c r="AW40" s="82"/>
      <c r="AX40" s="82"/>
      <c r="AY40" s="60"/>
      <c r="AZ40" s="85"/>
      <c r="BA40" s="56"/>
      <c r="BB40" s="65"/>
      <c r="BC40" s="56"/>
      <c r="BD40" s="95" t="s">
        <v>82</v>
      </c>
      <c r="BE40" s="56"/>
      <c r="BF40" s="72"/>
      <c r="BG40" s="336" t="s">
        <v>87</v>
      </c>
      <c r="BH40" s="336"/>
      <c r="BI40" s="336"/>
      <c r="BJ40" s="73">
        <f>IF(OR(BO54&gt;BO53,BO54=BO53),BO52,BO59)</f>
        <v>0</v>
      </c>
      <c r="BK40" s="73"/>
      <c r="BL40" s="60"/>
      <c r="BM40" s="66"/>
      <c r="BN40" s="66"/>
      <c r="BO40" s="65"/>
      <c r="BP40" s="56"/>
      <c r="BQ40" s="88" t="s">
        <v>67</v>
      </c>
      <c r="BR40" s="61">
        <f>SUM(BR37:BR39)</f>
        <v>0</v>
      </c>
      <c r="BS40" s="56"/>
      <c r="BT40" s="332"/>
      <c r="BU40" s="332"/>
      <c r="BV40" s="332"/>
      <c r="BW40" s="324"/>
      <c r="BX40" s="324"/>
      <c r="BY40" s="56"/>
      <c r="BZ40" s="85"/>
      <c r="CA40" s="56"/>
      <c r="CB40" s="65"/>
      <c r="CC40" s="56" t="e">
        <f>IF(#REF!="","",IF(#REF!="PF",#REF!,0))</f>
        <v>#REF!</v>
      </c>
      <c r="CD40" s="56" t="e">
        <f>IF(#REF!="","",IF(#REF!="PF",IF((#REF!+4)&lt;YEAR(#REF!),0,#REF!),0))</f>
        <v>#REF!</v>
      </c>
      <c r="CE40" s="56" t="e">
        <f>IF(#REF!="","",IF(AND(CD40&gt;0,#REF!&lt;&gt;""),CC40,0))</f>
        <v>#REF!</v>
      </c>
      <c r="CF40" s="56" t="e">
        <f>IF(#REF!="","",IF(AND($CE40&gt;0,#REF!= "GRENACHE N"),#REF!,0))</f>
        <v>#REF!</v>
      </c>
      <c r="CG40" s="56" t="e">
        <f>IF(#REF!="","",IF(AND($CE40&gt;0,#REF!="SYRAH N"),#REF!,0))</f>
        <v>#REF!</v>
      </c>
      <c r="CH40" s="56" t="e">
        <f>IF(#REF!="","",IF(AND($CE40&gt;0,#REF!="CINSAUT N"),#REF!,0))</f>
        <v>#REF!</v>
      </c>
      <c r="CI40" s="56" t="e">
        <f>IF(#REF!="","",IF(AND($CE40&gt;0,#REF!="TIBOUREN N"),#REF!,0))</f>
        <v>#REF!</v>
      </c>
      <c r="CJ40" s="56" t="e">
        <f>IF(#REF!="","",IF(AND($CE40&gt;0,#REF!="MOURVEDRE N"),#REF!,0))</f>
        <v>#REF!</v>
      </c>
      <c r="CK40" s="56" t="e">
        <f>IF(#REF!="","",IF(AND($CE40&gt;0,#REF!="CARIGNAN N"),#REF!,0))</f>
        <v>#REF!</v>
      </c>
      <c r="CL40" s="56" t="e">
        <f>IF(#REF!="","",IF(AND($CE40&gt;0,#REF!="CABERNET SAUVIGNON N"),#REF!,0))</f>
        <v>#REF!</v>
      </c>
      <c r="CM40" s="56" t="e">
        <f>IF(#REF!="","",IF(AND($CE40&gt;0,#REF!="VERMENTINO B"),#REF!,0))</f>
        <v>#REF!</v>
      </c>
      <c r="CN40" s="56" t="e">
        <f>IF(#REF!="","",IF(AND($CE40&gt;0,#REF!="UGNI BLANC B"),#REF!,0))</f>
        <v>#REF!</v>
      </c>
      <c r="CO40" s="56" t="e">
        <f>IF(#REF!="","",IF(AND($CE40&gt;0,#REF!="CLAIRETTE B"),#REF!,0))</f>
        <v>#REF!</v>
      </c>
      <c r="CP40" s="56" t="e">
        <f>IF(#REF!="","",IF(AND($CE40&gt;0,#REF!="semillon B"),#REF!,0))</f>
        <v>#REF!</v>
      </c>
      <c r="CQ40" s="56" t="e">
        <f>IF(#REF!="","",IF(CE40=0,CC40,0))</f>
        <v>#REF!</v>
      </c>
      <c r="CR40" s="56"/>
      <c r="CS40" s="56"/>
      <c r="CT40" s="96" t="s">
        <v>85</v>
      </c>
      <c r="CU40" s="61">
        <f>SUM(CU36:CU39)</f>
        <v>0</v>
      </c>
      <c r="CV40" s="56"/>
      <c r="CW40" s="336" t="s">
        <v>80</v>
      </c>
      <c r="CX40" s="336"/>
      <c r="CY40" s="336"/>
      <c r="CZ40" s="81">
        <f>IF(CY43=0,0,CZ39*100/CY43)</f>
        <v>0</v>
      </c>
      <c r="DA40" s="77" t="s">
        <v>56</v>
      </c>
      <c r="DB40" s="77"/>
      <c r="DC40" s="85" t="s">
        <v>86</v>
      </c>
      <c r="DD40" s="66"/>
      <c r="DE40" s="65">
        <f>IF(DE39&gt;DE32,DE32,DE39)</f>
        <v>0</v>
      </c>
      <c r="DF40" s="56"/>
      <c r="DG40" s="88" t="s">
        <v>67</v>
      </c>
      <c r="DH40" s="61">
        <f>SUM(DH37:DH39)</f>
        <v>0</v>
      </c>
      <c r="DI40" s="56"/>
      <c r="DJ40" s="332"/>
      <c r="DK40" s="332"/>
      <c r="DL40" s="332"/>
      <c r="DM40" s="324"/>
      <c r="DN40" s="324"/>
      <c r="DO40" s="56"/>
      <c r="DP40" s="85" t="s">
        <v>92</v>
      </c>
      <c r="DQ40" s="56"/>
      <c r="DR40" s="75">
        <f>DR39+DR36</f>
        <v>0</v>
      </c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</row>
    <row r="41" spans="1:157" ht="15" customHeight="1" x14ac:dyDescent="0.25">
      <c r="A41" s="56"/>
      <c r="B41" s="56"/>
      <c r="C41" s="56"/>
      <c r="D41" s="56"/>
      <c r="E41" s="56"/>
      <c r="F41" s="56"/>
      <c r="G41" s="56"/>
      <c r="H41" s="56"/>
      <c r="I41" s="97"/>
      <c r="J41" s="97"/>
      <c r="K41" s="97"/>
      <c r="L41" s="97"/>
      <c r="M41" s="97"/>
      <c r="N41" s="97"/>
      <c r="O41" s="95" t="s">
        <v>165</v>
      </c>
      <c r="P41" s="65">
        <f>B25</f>
        <v>0</v>
      </c>
      <c r="Q41" s="65"/>
      <c r="R41" s="89"/>
      <c r="S41" s="89"/>
      <c r="T41" s="89"/>
      <c r="U41" s="73"/>
      <c r="V41" s="73"/>
      <c r="W41" s="97"/>
      <c r="X41" s="97"/>
      <c r="Y41" s="97"/>
      <c r="Z41" s="97"/>
      <c r="AA41" s="85" t="s">
        <v>95</v>
      </c>
      <c r="AB41" s="65">
        <f>0.1*AB40</f>
        <v>0</v>
      </c>
      <c r="AC41" s="65"/>
      <c r="AD41" s="56"/>
      <c r="AE41" s="56"/>
      <c r="AF41" s="56"/>
      <c r="AG41" s="56"/>
      <c r="AH41" s="56"/>
      <c r="AI41" s="56"/>
      <c r="AJ41" s="56"/>
      <c r="AK41" s="56"/>
      <c r="AL41" s="56"/>
      <c r="AM41" s="97"/>
      <c r="AN41" s="85" t="s">
        <v>95</v>
      </c>
      <c r="AO41" s="65">
        <f>0.1*AO40</f>
        <v>0</v>
      </c>
      <c r="AP41" s="56"/>
      <c r="AQ41" s="57"/>
      <c r="AR41" s="61"/>
      <c r="AS41" s="61"/>
      <c r="AT41" s="61"/>
      <c r="AU41" s="72"/>
      <c r="AV41" s="56"/>
      <c r="AW41" s="82"/>
      <c r="AX41" s="82"/>
      <c r="AY41" s="60"/>
      <c r="AZ41" s="85"/>
      <c r="BA41" s="56"/>
      <c r="BB41" s="65"/>
      <c r="BC41" s="56"/>
      <c r="BD41" s="96" t="s">
        <v>85</v>
      </c>
      <c r="BE41" s="61"/>
      <c r="BF41" s="72"/>
      <c r="BG41" s="336" t="s">
        <v>80</v>
      </c>
      <c r="BH41" s="336"/>
      <c r="BI41" s="336"/>
      <c r="BJ41" s="81">
        <f>IF(BI44=0,0,BJ40*100/BI44)</f>
        <v>0</v>
      </c>
      <c r="BK41" s="77" t="s">
        <v>56</v>
      </c>
      <c r="BL41" s="60"/>
      <c r="BM41" s="66"/>
      <c r="BN41" s="66"/>
      <c r="BO41" s="65"/>
      <c r="BP41" s="56"/>
      <c r="BQ41" s="56"/>
      <c r="BR41" s="56"/>
      <c r="BS41" s="56"/>
      <c r="BT41" s="328" t="s">
        <v>70</v>
      </c>
      <c r="BU41" s="328"/>
      <c r="BV41" s="328"/>
      <c r="BW41" s="324">
        <f>CB73</f>
        <v>0</v>
      </c>
      <c r="BX41" s="324"/>
      <c r="BY41" s="56"/>
      <c r="BZ41" s="85"/>
      <c r="CA41" s="56"/>
      <c r="CB41" s="65"/>
      <c r="CC41" s="56" t="e">
        <f>IF(#REF!="","",IF(#REF!="PF",#REF!,0))</f>
        <v>#REF!</v>
      </c>
      <c r="CD41" s="56" t="e">
        <f>IF(#REF!="","",IF(#REF!="PF",IF((#REF!+4)&lt;YEAR(#REF!),0,#REF!),0))</f>
        <v>#REF!</v>
      </c>
      <c r="CE41" s="56" t="e">
        <f>IF(#REF!="","",IF(AND(CD41&gt;0,#REF!&lt;&gt;""),CC41,0))</f>
        <v>#REF!</v>
      </c>
      <c r="CF41" s="56" t="e">
        <f>IF(#REF!="","",IF(AND($CE41&gt;0,#REF!= "GRENACHE N"),#REF!,0))</f>
        <v>#REF!</v>
      </c>
      <c r="CG41" s="56" t="e">
        <f>IF(#REF!="","",IF(AND($CE41&gt;0,#REF!="SYRAH N"),#REF!,0))</f>
        <v>#REF!</v>
      </c>
      <c r="CH41" s="56" t="e">
        <f>IF(#REF!="","",IF(AND($CE41&gt;0,#REF!="CINSAUT N"),#REF!,0))</f>
        <v>#REF!</v>
      </c>
      <c r="CI41" s="56" t="e">
        <f>IF(#REF!="","",IF(AND($CE41&gt;0,#REF!="TIBOUREN N"),#REF!,0))</f>
        <v>#REF!</v>
      </c>
      <c r="CJ41" s="56" t="e">
        <f>IF(#REF!="","",IF(AND($CE41&gt;0,#REF!="MOURVEDRE N"),#REF!,0))</f>
        <v>#REF!</v>
      </c>
      <c r="CK41" s="56" t="e">
        <f>IF(#REF!="","",IF(AND($CE41&gt;0,#REF!="CARIGNAN N"),#REF!,0))</f>
        <v>#REF!</v>
      </c>
      <c r="CL41" s="56" t="e">
        <f>IF(#REF!="","",IF(AND($CE41&gt;0,#REF!="CABERNET SAUVIGNON N"),#REF!,0))</f>
        <v>#REF!</v>
      </c>
      <c r="CM41" s="56" t="e">
        <f>IF(#REF!="","",IF(AND($CE41&gt;0,#REF!="VERMENTINO B"),#REF!,0))</f>
        <v>#REF!</v>
      </c>
      <c r="CN41" s="56" t="e">
        <f>IF(#REF!="","",IF(AND($CE41&gt;0,#REF!="UGNI BLANC B"),#REF!,0))</f>
        <v>#REF!</v>
      </c>
      <c r="CO41" s="56" t="e">
        <f>IF(#REF!="","",IF(AND($CE41&gt;0,#REF!="CLAIRETTE B"),#REF!,0))</f>
        <v>#REF!</v>
      </c>
      <c r="CP41" s="56" t="e">
        <f>IF(#REF!="","",IF(AND($CE41&gt;0,#REF!="semillon B"),#REF!,0))</f>
        <v>#REF!</v>
      </c>
      <c r="CQ41" s="56" t="e">
        <f>IF(#REF!="","",IF(CE41=0,CC41,0))</f>
        <v>#REF!</v>
      </c>
      <c r="CR41" s="56"/>
      <c r="CS41" s="56"/>
      <c r="CT41" s="91" t="s">
        <v>73</v>
      </c>
      <c r="CU41" s="92">
        <f>CU40+CU34+CU28</f>
        <v>0</v>
      </c>
      <c r="CV41" s="56"/>
      <c r="CW41" s="377" t="s">
        <v>90</v>
      </c>
      <c r="CX41" s="377"/>
      <c r="CY41" s="377"/>
      <c r="CZ41" s="324">
        <f>IF(CU40&lt;CZ37,0,CU40-CZ37)</f>
        <v>0</v>
      </c>
      <c r="DA41" s="324"/>
      <c r="DB41" s="77"/>
      <c r="DC41" s="85" t="s">
        <v>88</v>
      </c>
      <c r="DD41" s="66"/>
      <c r="DE41" s="86">
        <f>DE32-DE40</f>
        <v>0</v>
      </c>
      <c r="DF41" s="56"/>
      <c r="DG41" s="56"/>
      <c r="DH41" s="56"/>
      <c r="DI41" s="56"/>
      <c r="DJ41" s="328" t="s">
        <v>70</v>
      </c>
      <c r="DK41" s="328"/>
      <c r="DL41" s="328"/>
      <c r="DM41" s="324">
        <f>DR58</f>
        <v>0</v>
      </c>
      <c r="DN41" s="324"/>
      <c r="DO41" s="56"/>
      <c r="DP41" s="85"/>
      <c r="DQ41" s="56"/>
      <c r="DR41" s="65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</row>
    <row r="42" spans="1:157" ht="16.5" x14ac:dyDescent="0.25">
      <c r="I42" s="10"/>
      <c r="J42" s="10"/>
      <c r="K42" s="10"/>
      <c r="L42" s="10"/>
      <c r="M42" s="10"/>
      <c r="N42" s="10"/>
      <c r="O42" s="172" t="s">
        <v>85</v>
      </c>
      <c r="P42" s="173">
        <f>SUM(P37:P41)</f>
        <v>0</v>
      </c>
      <c r="Q42" s="44"/>
      <c r="R42" s="39"/>
      <c r="S42" s="39"/>
      <c r="T42" s="39"/>
      <c r="U42" s="35"/>
      <c r="V42" s="22"/>
      <c r="W42" s="10"/>
      <c r="X42" s="10"/>
      <c r="Y42" s="10"/>
      <c r="Z42" s="10"/>
      <c r="AA42" s="23" t="s">
        <v>84</v>
      </c>
      <c r="AB42" s="12">
        <f>IF(AB41=0,0,IF(B29+B30+B31&gt;AB41,AB41,B29+B30+B31))</f>
        <v>0</v>
      </c>
      <c r="AC42" s="24"/>
      <c r="AE42" s="157" t="s">
        <v>23</v>
      </c>
      <c r="AF42" s="337" t="s">
        <v>24</v>
      </c>
      <c r="AG42" s="338"/>
      <c r="AH42" s="366"/>
      <c r="AI42" s="366"/>
      <c r="AJ42" s="366"/>
      <c r="AK42" s="20"/>
      <c r="AL42" s="20"/>
      <c r="AM42" s="10"/>
      <c r="AN42" s="23" t="s">
        <v>84</v>
      </c>
      <c r="AO42" s="12">
        <f>IF(AO41=0,0,IF(AF28+AF29+AF30&gt;AO41,AO41,AF28+AF29+AF30))</f>
        <v>0</v>
      </c>
      <c r="AQ42" s="3"/>
      <c r="AR42" s="18"/>
      <c r="AS42" s="18"/>
      <c r="AT42" s="18"/>
      <c r="AU42" s="16"/>
      <c r="AW42" s="19"/>
      <c r="AX42" s="19"/>
      <c r="AY42" s="10"/>
      <c r="AZ42" s="23"/>
      <c r="BD42" s="174" t="s">
        <v>73</v>
      </c>
      <c r="BE42" s="175">
        <f>BE41+BE35+BE29</f>
        <v>0</v>
      </c>
      <c r="BF42" s="5"/>
      <c r="BG42" s="333" t="s">
        <v>90</v>
      </c>
      <c r="BH42" s="334"/>
      <c r="BI42" s="335"/>
      <c r="BJ42" s="158">
        <f>IF(BE41&lt;BJ38,0,BE41-BJ38)</f>
        <v>0</v>
      </c>
      <c r="BK42" s="158"/>
      <c r="BL42" s="10"/>
      <c r="BM42" s="1"/>
      <c r="BN42" s="1"/>
      <c r="BQ42" s="64" t="s">
        <v>126</v>
      </c>
      <c r="BR42" s="8">
        <f>BR15</f>
        <v>0</v>
      </c>
      <c r="BS42" s="18"/>
      <c r="BT42" s="390" t="s">
        <v>74</v>
      </c>
      <c r="BU42" s="391"/>
      <c r="BV42" s="392"/>
      <c r="BW42" s="176">
        <f>IF(BV53=0,0,BW41*100/BV53)</f>
        <v>0</v>
      </c>
      <c r="BX42" s="177" t="s">
        <v>56</v>
      </c>
      <c r="BZ42" s="23"/>
      <c r="CC42" s="8" t="e">
        <f>IF(#REF!="","",IF(#REF!="PF",#REF!,0))</f>
        <v>#REF!</v>
      </c>
      <c r="CD42" s="8" t="e">
        <f>IF(#REF!="","",IF(#REF!="PF",IF((#REF!+4)&lt;YEAR(#REF!),0,#REF!),0))</f>
        <v>#REF!</v>
      </c>
      <c r="CE42" s="8" t="e">
        <f>IF(#REF!="","",IF(AND(CD42&gt;0,#REF!&lt;&gt;""),CC42,0))</f>
        <v>#REF!</v>
      </c>
      <c r="CF42" s="8" t="e">
        <f>IF(#REF!="","",IF(AND($CE42&gt;0,#REF!= "GRENACHE N"),#REF!,0))</f>
        <v>#REF!</v>
      </c>
      <c r="CG42" s="8" t="e">
        <f>IF(#REF!="","",IF(AND($CE42&gt;0,#REF!="SYRAH N"),#REF!,0))</f>
        <v>#REF!</v>
      </c>
      <c r="CH42" s="8" t="e">
        <f>IF(#REF!="","",IF(AND($CE42&gt;0,#REF!="CINSAUT N"),#REF!,0))</f>
        <v>#REF!</v>
      </c>
      <c r="CI42" s="8" t="e">
        <f>IF(#REF!="","",IF(AND($CE42&gt;0,#REF!="TIBOUREN N"),#REF!,0))</f>
        <v>#REF!</v>
      </c>
      <c r="CJ42" s="8" t="e">
        <f>IF(#REF!="","",IF(AND($CE42&gt;0,#REF!="MOURVEDRE N"),#REF!,0))</f>
        <v>#REF!</v>
      </c>
      <c r="CK42" s="8" t="e">
        <f>IF(#REF!="","",IF(AND($CE42&gt;0,#REF!="CARIGNAN N"),#REF!,0))</f>
        <v>#REF!</v>
      </c>
      <c r="CL42" s="8" t="e">
        <f>IF(#REF!="","",IF(AND($CE42&gt;0,#REF!="CABERNET SAUVIGNON N"),#REF!,0))</f>
        <v>#REF!</v>
      </c>
      <c r="CM42" s="8" t="e">
        <f>IF(#REF!="","",IF(AND($CE42&gt;0,#REF!="VERMENTINO B"),#REF!,0))</f>
        <v>#REF!</v>
      </c>
      <c r="CN42" s="8" t="e">
        <f>IF(#REF!="","",IF(AND($CE42&gt;0,#REF!="UGNI BLANC B"),#REF!,0))</f>
        <v>#REF!</v>
      </c>
      <c r="CO42" s="8" t="e">
        <f>IF(#REF!="","",IF(AND($CE42&gt;0,#REF!="CLAIRETTE B"),#REF!,0))</f>
        <v>#REF!</v>
      </c>
      <c r="CP42" s="8" t="e">
        <f>IF(#REF!="","",IF(AND($CE42&gt;0,#REF!="semillon B"),#REF!,0))</f>
        <v>#REF!</v>
      </c>
      <c r="CQ42" s="8" t="e">
        <f>IF(#REF!="","",IF(CE42=0,CC42,0))</f>
        <v>#REF!</v>
      </c>
      <c r="CR42" s="17"/>
      <c r="DB42" s="20"/>
      <c r="DC42" s="23" t="s">
        <v>89</v>
      </c>
      <c r="DD42" s="1"/>
      <c r="DE42" s="2">
        <f>IF(CU36=0,0,IF(CU36&gt;DE41,DE41,CU36))</f>
        <v>0</v>
      </c>
      <c r="DG42" s="64" t="s">
        <v>126</v>
      </c>
      <c r="DH42" s="8"/>
      <c r="DI42" s="18"/>
      <c r="DJ42" s="390" t="s">
        <v>74</v>
      </c>
      <c r="DK42" s="391"/>
      <c r="DL42" s="392"/>
      <c r="DM42" s="176">
        <f>IF(DL53=0,0,DM41*100/DL53)</f>
        <v>0</v>
      </c>
      <c r="DN42" s="177" t="s">
        <v>56</v>
      </c>
      <c r="DP42" s="1" t="s">
        <v>39</v>
      </c>
      <c r="DQ42" s="5"/>
      <c r="DR42" s="2">
        <f>DM37*20/80</f>
        <v>0</v>
      </c>
    </row>
    <row r="43" spans="1:157" ht="15.75" customHeight="1" x14ac:dyDescent="0.25"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23" t="s">
        <v>88</v>
      </c>
      <c r="AB43" s="2">
        <f>AB30-AB42</f>
        <v>0</v>
      </c>
      <c r="AC43" s="24"/>
      <c r="AE43" s="28" t="s">
        <v>126</v>
      </c>
      <c r="AF43" s="42">
        <f>AF27</f>
        <v>0</v>
      </c>
      <c r="AG43" s="2"/>
      <c r="AH43" s="363" t="s">
        <v>192</v>
      </c>
      <c r="AI43" s="364"/>
      <c r="AJ43" s="365"/>
      <c r="AK43" s="361">
        <f>(AF43+AF44+AF45+AF46)</f>
        <v>0</v>
      </c>
      <c r="AL43" s="362"/>
      <c r="AM43" s="49"/>
      <c r="AN43" s="23" t="s">
        <v>88</v>
      </c>
      <c r="AO43" s="2">
        <f>AO30-AO42</f>
        <v>0</v>
      </c>
      <c r="AQ43" s="3"/>
      <c r="AR43" s="18"/>
      <c r="AS43" s="18"/>
      <c r="AT43" s="18"/>
      <c r="AU43" s="16"/>
      <c r="AW43" s="19"/>
      <c r="AX43" s="19"/>
      <c r="AY43" s="10"/>
      <c r="AZ43" s="23"/>
      <c r="BL43" s="10"/>
      <c r="BM43" s="1"/>
      <c r="BN43" s="1"/>
      <c r="BQ43" s="30" t="s">
        <v>123</v>
      </c>
      <c r="BR43" s="7">
        <f t="shared" ref="BR43:BR45" si="0">BR16</f>
        <v>0</v>
      </c>
      <c r="BS43" s="18"/>
      <c r="BT43" s="367" t="s">
        <v>79</v>
      </c>
      <c r="BU43" s="368"/>
      <c r="BV43" s="369"/>
      <c r="BW43" s="361">
        <f>CB71</f>
        <v>0</v>
      </c>
      <c r="BX43" s="362"/>
      <c r="BZ43" s="23"/>
      <c r="CC43" s="7" t="e">
        <f>IF(#REF!="","",IF(#REF!="PF",#REF!,0))</f>
        <v>#REF!</v>
      </c>
      <c r="CD43" s="7" t="e">
        <f>IF(#REF!="","",IF(#REF!="PF",IF((#REF!+4)&lt;YEAR(#REF!),0,#REF!),0))</f>
        <v>#REF!</v>
      </c>
      <c r="CE43" s="7" t="e">
        <f>IF(#REF!="","",IF(AND(CD43&gt;0,#REF!&lt;&gt;""),CC43,0))</f>
        <v>#REF!</v>
      </c>
      <c r="CF43" s="7" t="e">
        <f>IF(#REF!="","",IF(AND($CE43&gt;0,#REF!= "GRENACHE N"),#REF!,0))</f>
        <v>#REF!</v>
      </c>
      <c r="CG43" s="7" t="e">
        <f>IF(#REF!="","",IF(AND($CE43&gt;0,#REF!="SYRAH N"),#REF!,0))</f>
        <v>#REF!</v>
      </c>
      <c r="CH43" s="7" t="e">
        <f>IF(#REF!="","",IF(AND($CE43&gt;0,#REF!="CINSAUT N"),#REF!,0))</f>
        <v>#REF!</v>
      </c>
      <c r="CI43" s="7" t="e">
        <f>IF(#REF!="","",IF(AND($CE43&gt;0,#REF!="TIBOUREN N"),#REF!,0))</f>
        <v>#REF!</v>
      </c>
      <c r="CJ43" s="7" t="e">
        <f>IF(#REF!="","",IF(AND($CE43&gt;0,#REF!="MOURVEDRE N"),#REF!,0))</f>
        <v>#REF!</v>
      </c>
      <c r="CK43" s="7" t="e">
        <f>IF(#REF!="","",IF(AND($CE43&gt;0,#REF!="CARIGNAN N"),#REF!,0))</f>
        <v>#REF!</v>
      </c>
      <c r="CL43" s="7" t="e">
        <f>IF(#REF!="","",IF(AND($CE43&gt;0,#REF!="CABERNET SAUVIGNON N"),#REF!,0))</f>
        <v>#REF!</v>
      </c>
      <c r="CM43" s="7" t="e">
        <f>IF(#REF!="","",IF(AND($CE43&gt;0,#REF!="VERMENTINO B"),#REF!,0))</f>
        <v>#REF!</v>
      </c>
      <c r="CN43" s="7" t="e">
        <f>IF(#REF!="","",IF(AND($CE43&gt;0,#REF!="UGNI BLANC B"),#REF!,0))</f>
        <v>#REF!</v>
      </c>
      <c r="CO43" s="7" t="e">
        <f>IF(#REF!="","",IF(AND($CE43&gt;0,#REF!="CLAIRETTE B"),#REF!,0))</f>
        <v>#REF!</v>
      </c>
      <c r="CP43" s="7" t="e">
        <f>IF(#REF!="","",IF(AND($CE43&gt;0,#REF!="semillon B"),#REF!,0))</f>
        <v>#REF!</v>
      </c>
      <c r="CQ43" s="7" t="e">
        <f>IF(#REF!="","",IF(CE43=0,CC43,0))</f>
        <v>#REF!</v>
      </c>
      <c r="CR43" s="17"/>
      <c r="CT43" s="380" t="s">
        <v>149</v>
      </c>
      <c r="CU43" s="381"/>
      <c r="CV43" s="381"/>
      <c r="CW43" s="381"/>
      <c r="CX43" s="382"/>
      <c r="CY43" s="355">
        <f>CZ29+CZ33+CZ37</f>
        <v>0</v>
      </c>
      <c r="CZ43" s="356"/>
      <c r="DA43" s="357"/>
      <c r="DB43" s="20"/>
      <c r="DC43" s="23" t="s">
        <v>92</v>
      </c>
      <c r="DE43" s="2">
        <f>DE42+DE40</f>
        <v>0</v>
      </c>
      <c r="DG43" s="30" t="s">
        <v>123</v>
      </c>
      <c r="DH43" s="7"/>
      <c r="DI43" s="18"/>
      <c r="DJ43" s="367" t="s">
        <v>79</v>
      </c>
      <c r="DK43" s="368"/>
      <c r="DL43" s="369"/>
      <c r="DM43" s="361">
        <f>DR56</f>
        <v>0</v>
      </c>
      <c r="DN43" s="362"/>
      <c r="DP43" s="1" t="s">
        <v>40</v>
      </c>
      <c r="DQ43" s="5"/>
      <c r="DR43" s="2">
        <f>DH37+DH39+DR49</f>
        <v>0</v>
      </c>
    </row>
    <row r="44" spans="1:157" ht="15.75" customHeight="1" x14ac:dyDescent="0.25"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23" t="s">
        <v>89</v>
      </c>
      <c r="AB44" s="2">
        <f>IF(B28=0,0,IF(B28&gt;AB43,AB43,B28))</f>
        <v>0</v>
      </c>
      <c r="AE44" s="30" t="s">
        <v>123</v>
      </c>
      <c r="AF44" s="42">
        <f>AF28</f>
        <v>0</v>
      </c>
      <c r="AG44" s="2"/>
      <c r="AH44" s="363" t="s">
        <v>191</v>
      </c>
      <c r="AI44" s="364"/>
      <c r="AJ44" s="365"/>
      <c r="AK44" s="361">
        <f>AP49</f>
        <v>0</v>
      </c>
      <c r="AL44" s="362"/>
      <c r="AM44" s="47" t="e">
        <f>CONCATENATE("soit ",ROUND(IF(AJ50=0,0,AK44*100/AJ50),2)," %")</f>
        <v>#VALUE!</v>
      </c>
      <c r="AN44" s="23" t="s">
        <v>89</v>
      </c>
      <c r="AO44" s="2">
        <f>IF(AF27=0,0,IF(AF27&gt;AO43,AO43,AF27))</f>
        <v>0</v>
      </c>
      <c r="AQ44" s="3"/>
      <c r="AR44" s="18"/>
      <c r="AS44" s="18"/>
      <c r="AT44" s="18"/>
      <c r="AU44" s="16"/>
      <c r="AW44" s="19"/>
      <c r="AX44" s="19"/>
      <c r="AY44" s="10"/>
      <c r="AZ44" s="23"/>
      <c r="BD44" s="352" t="s">
        <v>138</v>
      </c>
      <c r="BE44" s="353"/>
      <c r="BF44" s="353"/>
      <c r="BG44" s="353"/>
      <c r="BH44" s="354"/>
      <c r="BI44" s="355">
        <f>BJ30+BJ34+BJ38</f>
        <v>0</v>
      </c>
      <c r="BJ44" s="356"/>
      <c r="BK44" s="357"/>
      <c r="BL44" s="10"/>
      <c r="BM44" s="1"/>
      <c r="BN44" s="1"/>
      <c r="BQ44" s="30" t="s">
        <v>127</v>
      </c>
      <c r="BR44" s="7">
        <f t="shared" si="0"/>
        <v>0</v>
      </c>
      <c r="BS44" s="18"/>
      <c r="BT44" s="367" t="s">
        <v>80</v>
      </c>
      <c r="BU44" s="368"/>
      <c r="BV44" s="369"/>
      <c r="BW44" s="21">
        <f>IF(BV53=0,0,BW43*100/BV53)</f>
        <v>0</v>
      </c>
      <c r="BX44" s="55" t="s">
        <v>56</v>
      </c>
      <c r="BZ44" s="23"/>
      <c r="CC44" s="7" t="e">
        <f>IF(#REF!="","",IF(#REF!="PF",#REF!,0))</f>
        <v>#REF!</v>
      </c>
      <c r="CD44" s="7" t="e">
        <f>IF(#REF!="","",IF(#REF!="PF",IF((#REF!+4)&lt;YEAR(#REF!),0,#REF!),0))</f>
        <v>#REF!</v>
      </c>
      <c r="CE44" s="7" t="e">
        <f>IF(#REF!="","",IF(AND(CD44&gt;0,#REF!&lt;&gt;""),CC44,0))</f>
        <v>#REF!</v>
      </c>
      <c r="CF44" s="7" t="e">
        <f>IF(#REF!="","",IF(AND($CE44&gt;0,#REF!= "GRENACHE N"),#REF!,0))</f>
        <v>#REF!</v>
      </c>
      <c r="CG44" s="7" t="e">
        <f>IF(#REF!="","",IF(AND($CE44&gt;0,#REF!="SYRAH N"),#REF!,0))</f>
        <v>#REF!</v>
      </c>
      <c r="CH44" s="7" t="e">
        <f>IF(#REF!="","",IF(AND($CE44&gt;0,#REF!="CINSAUT N"),#REF!,0))</f>
        <v>#REF!</v>
      </c>
      <c r="CI44" s="7" t="e">
        <f>IF(#REF!="","",IF(AND($CE44&gt;0,#REF!="TIBOUREN N"),#REF!,0))</f>
        <v>#REF!</v>
      </c>
      <c r="CJ44" s="7" t="e">
        <f>IF(#REF!="","",IF(AND($CE44&gt;0,#REF!="MOURVEDRE N"),#REF!,0))</f>
        <v>#REF!</v>
      </c>
      <c r="CK44" s="7" t="e">
        <f>IF(#REF!="","",IF(AND($CE44&gt;0,#REF!="CARIGNAN N"),#REF!,0))</f>
        <v>#REF!</v>
      </c>
      <c r="CL44" s="7" t="e">
        <f>IF(#REF!="","",IF(AND($CE44&gt;0,#REF!="CABERNET SAUVIGNON N"),#REF!,0))</f>
        <v>#REF!</v>
      </c>
      <c r="CM44" s="7" t="e">
        <f>IF(#REF!="","",IF(AND($CE44&gt;0,#REF!="VERMENTINO B"),#REF!,0))</f>
        <v>#REF!</v>
      </c>
      <c r="CN44" s="7" t="e">
        <f>IF(#REF!="","",IF(AND($CE44&gt;0,#REF!="UGNI BLANC B"),#REF!,0))</f>
        <v>#REF!</v>
      </c>
      <c r="CO44" s="7" t="e">
        <f>IF(#REF!="","",IF(AND($CE44&gt;0,#REF!="CLAIRETTE B"),#REF!,0))</f>
        <v>#REF!</v>
      </c>
      <c r="CP44" s="7" t="e">
        <f>IF(#REF!="","",IF(AND($CE44&gt;0,#REF!="semillon B"),#REF!,0))</f>
        <v>#REF!</v>
      </c>
      <c r="CQ44" s="7" t="e">
        <f>IF(#REF!="","",IF(CE44=0,CC44,0))</f>
        <v>#REF!</v>
      </c>
      <c r="CR44" s="17"/>
      <c r="CT44" s="349" t="s">
        <v>150</v>
      </c>
      <c r="CU44" s="350"/>
      <c r="CV44" s="350"/>
      <c r="CW44" s="350"/>
      <c r="CX44" s="351"/>
      <c r="CY44" s="358">
        <f>CZ31+CZ35+CZ41</f>
        <v>0</v>
      </c>
      <c r="CZ44" s="359"/>
      <c r="DA44" s="360"/>
      <c r="DB44" s="20"/>
      <c r="DC44" s="23" t="s">
        <v>78</v>
      </c>
      <c r="DE44" s="2">
        <f>CZ29+CZ33+DE43</f>
        <v>0</v>
      </c>
      <c r="DG44" s="30" t="s">
        <v>127</v>
      </c>
      <c r="DH44" s="7"/>
      <c r="DI44" s="18"/>
      <c r="DJ44" s="367" t="s">
        <v>80</v>
      </c>
      <c r="DK44" s="368"/>
      <c r="DL44" s="369"/>
      <c r="DM44" s="21">
        <f>IF(DL53=0,0,DM43*100/DL53)</f>
        <v>0</v>
      </c>
      <c r="DN44" s="55" t="s">
        <v>56</v>
      </c>
      <c r="DP44" s="1" t="s">
        <v>44</v>
      </c>
      <c r="DQ44" s="5"/>
      <c r="DR44" s="2" t="e">
        <f>IF((DM37*100/DL53)&gt;70,100-(DM37*100/DL53),30)</f>
        <v>#DIV/0!</v>
      </c>
    </row>
    <row r="45" spans="1:157" ht="56.25" x14ac:dyDescent="0.25">
      <c r="I45" s="10"/>
      <c r="J45" s="10"/>
      <c r="K45" s="10"/>
      <c r="L45" s="10"/>
      <c r="M45" s="10"/>
      <c r="N45" s="10"/>
      <c r="O45" s="10"/>
      <c r="P45" s="53" t="s">
        <v>25</v>
      </c>
      <c r="Q45" s="53" t="s">
        <v>26</v>
      </c>
      <c r="R45" s="53" t="s">
        <v>27</v>
      </c>
      <c r="S45" s="53" t="s">
        <v>28</v>
      </c>
      <c r="T45" s="402" t="s">
        <v>29</v>
      </c>
      <c r="U45" s="402"/>
      <c r="V45" s="10"/>
      <c r="W45" s="10"/>
      <c r="X45" s="10"/>
      <c r="Y45" s="10"/>
      <c r="Z45" s="10"/>
      <c r="AA45" s="23" t="s">
        <v>92</v>
      </c>
      <c r="AB45" s="12">
        <f>AB44+AB42</f>
        <v>0</v>
      </c>
      <c r="AE45" s="30" t="s">
        <v>127</v>
      </c>
      <c r="AF45" s="42">
        <f>AF29</f>
        <v>0</v>
      </c>
      <c r="AG45" s="2"/>
      <c r="AH45" s="39"/>
      <c r="AI45" s="39"/>
      <c r="AJ45" s="39"/>
      <c r="AK45" s="35"/>
      <c r="AL45" s="22"/>
      <c r="AM45" s="10"/>
      <c r="AN45" s="23" t="s">
        <v>92</v>
      </c>
      <c r="AO45" s="12">
        <f>AO44+AO42</f>
        <v>0</v>
      </c>
      <c r="AQ45" s="3"/>
      <c r="AR45" s="18"/>
      <c r="AS45" s="18"/>
      <c r="AT45" s="18"/>
      <c r="AU45" s="16"/>
      <c r="AW45" s="19"/>
      <c r="AX45" s="19"/>
      <c r="AY45" s="10"/>
      <c r="AZ45" s="23"/>
      <c r="BD45" s="349" t="s">
        <v>139</v>
      </c>
      <c r="BE45" s="350"/>
      <c r="BF45" s="350"/>
      <c r="BG45" s="350"/>
      <c r="BH45" s="351"/>
      <c r="BI45" s="358">
        <f>BJ32+BJ36+BJ42</f>
        <v>0</v>
      </c>
      <c r="BJ45" s="359"/>
      <c r="BK45" s="360"/>
      <c r="BL45" s="10"/>
      <c r="BM45" s="1"/>
      <c r="BN45" s="1"/>
      <c r="BQ45" s="30" t="s">
        <v>82</v>
      </c>
      <c r="BR45" s="7">
        <f t="shared" si="0"/>
        <v>0</v>
      </c>
      <c r="BS45" s="29"/>
      <c r="BT45" s="374" t="s">
        <v>77</v>
      </c>
      <c r="BU45" s="375"/>
      <c r="BV45" s="376"/>
      <c r="BW45" s="361">
        <f>IF(BR40&lt;BW41,0,BR40-BW41)</f>
        <v>0</v>
      </c>
      <c r="BX45" s="362"/>
      <c r="BZ45" s="23"/>
      <c r="CC45" s="7" t="e">
        <f>IF(#REF!="","",IF(#REF!="PF",#REF!,0))</f>
        <v>#REF!</v>
      </c>
      <c r="CD45" s="7" t="e">
        <f>IF(#REF!="","",IF(#REF!="PF",IF((#REF!+4)&lt;YEAR(#REF!),0,#REF!),0))</f>
        <v>#REF!</v>
      </c>
      <c r="CE45" s="7" t="e">
        <f>IF(#REF!="","",IF(AND(CD45&gt;0,#REF!&lt;&gt;""),CC45,0))</f>
        <v>#REF!</v>
      </c>
      <c r="CF45" s="7" t="e">
        <f>IF(#REF!="","",IF(AND($CE45&gt;0,#REF!= "GRENACHE N"),#REF!,0))</f>
        <v>#REF!</v>
      </c>
      <c r="CG45" s="7" t="e">
        <f>IF(#REF!="","",IF(AND($CE45&gt;0,#REF!="SYRAH N"),#REF!,0))</f>
        <v>#REF!</v>
      </c>
      <c r="CH45" s="7" t="e">
        <f>IF(#REF!="","",IF(AND($CE45&gt;0,#REF!="CINSAUT N"),#REF!,0))</f>
        <v>#REF!</v>
      </c>
      <c r="CI45" s="7" t="e">
        <f>IF(#REF!="","",IF(AND($CE45&gt;0,#REF!="TIBOUREN N"),#REF!,0))</f>
        <v>#REF!</v>
      </c>
      <c r="CJ45" s="7" t="e">
        <f>IF(#REF!="","",IF(AND($CE45&gt;0,#REF!="MOURVEDRE N"),#REF!,0))</f>
        <v>#REF!</v>
      </c>
      <c r="CK45" s="7" t="e">
        <f>IF(#REF!="","",IF(AND($CE45&gt;0,#REF!="CARIGNAN N"),#REF!,0))</f>
        <v>#REF!</v>
      </c>
      <c r="CL45" s="7" t="e">
        <f>IF(#REF!="","",IF(AND($CE45&gt;0,#REF!="CABERNET SAUVIGNON N"),#REF!,0))</f>
        <v>#REF!</v>
      </c>
      <c r="CM45" s="7" t="e">
        <f>IF(#REF!="","",IF(AND($CE45&gt;0,#REF!="VERMENTINO B"),#REF!,0))</f>
        <v>#REF!</v>
      </c>
      <c r="CN45" s="7" t="e">
        <f>IF(#REF!="","",IF(AND($CE45&gt;0,#REF!="UGNI BLANC B"),#REF!,0))</f>
        <v>#REF!</v>
      </c>
      <c r="CO45" s="7" t="e">
        <f>IF(#REF!="","",IF(AND($CE45&gt;0,#REF!="CLAIRETTE B"),#REF!,0))</f>
        <v>#REF!</v>
      </c>
      <c r="CP45" s="7" t="e">
        <f>IF(#REF!="","",IF(AND($CE45&gt;0,#REF!="semillon B"),#REF!,0))</f>
        <v>#REF!</v>
      </c>
      <c r="CQ45" s="7" t="e">
        <f>IF(#REF!="","",IF(CE45=0,CC45,0))</f>
        <v>#REF!</v>
      </c>
      <c r="CR45" s="17"/>
      <c r="DB45" s="22"/>
      <c r="DC45" s="23"/>
      <c r="DG45" s="30" t="s">
        <v>82</v>
      </c>
      <c r="DH45" s="7"/>
      <c r="DI45" s="29"/>
      <c r="DJ45" s="374" t="s">
        <v>77</v>
      </c>
      <c r="DK45" s="375"/>
      <c r="DL45" s="376"/>
      <c r="DM45" s="361">
        <f>IF(DH40&lt;DM41,0,DH40-DM41)</f>
        <v>0</v>
      </c>
      <c r="DN45" s="362"/>
      <c r="DP45" s="1" t="s">
        <v>106</v>
      </c>
      <c r="DQ45" s="5"/>
      <c r="DR45" s="12">
        <f>IF(DH37+DH39=0,DH38,IF((DH38+DH37+DH39)&gt;DR42,DR42,(DH38+DH37+DH39)))</f>
        <v>0</v>
      </c>
    </row>
    <row r="46" spans="1:157" ht="15.75" customHeight="1" x14ac:dyDescent="0.25">
      <c r="I46" s="49"/>
      <c r="J46" s="49"/>
      <c r="K46" s="49"/>
      <c r="L46" s="49"/>
      <c r="M46" s="49"/>
      <c r="N46" s="49"/>
      <c r="O46" s="49"/>
      <c r="P46" s="9">
        <f>B5/($B$34+0.00001)</f>
        <v>0</v>
      </c>
      <c r="Q46" s="8">
        <f>IF(P46&lt;90%,B5,9*(B6+B7+B8+B9))</f>
        <v>0</v>
      </c>
      <c r="R46" s="9">
        <f>T46/(B$10+0.00001)</f>
        <v>0</v>
      </c>
      <c r="S46" s="8">
        <f>IF(OR($Q$46=$B$10,$Q$47=$B$10,$Q$48=$B$10,$Q$49=$B$10,$Q$50=$B$10,P46=100%),0,Q46)</f>
        <v>0</v>
      </c>
      <c r="T46" s="400">
        <f>S46</f>
        <v>0</v>
      </c>
      <c r="U46" s="400"/>
      <c r="V46" s="49"/>
      <c r="W46" s="49"/>
      <c r="X46" s="49"/>
      <c r="Y46" s="49"/>
      <c r="Z46" s="49"/>
      <c r="AE46" s="30" t="s">
        <v>82</v>
      </c>
      <c r="AF46" s="42">
        <f>AF30</f>
        <v>0</v>
      </c>
      <c r="AG46" s="2"/>
      <c r="AH46" s="48"/>
      <c r="AI46" s="48"/>
      <c r="AJ46" s="48"/>
      <c r="AK46" s="20"/>
      <c r="AL46" s="20"/>
      <c r="AM46" s="49"/>
      <c r="AQ46" s="3"/>
      <c r="AR46" s="18"/>
      <c r="AS46" s="18"/>
      <c r="AT46" s="18"/>
      <c r="AU46" s="16"/>
      <c r="AW46" s="19"/>
      <c r="AX46" s="19"/>
      <c r="AY46" s="10"/>
      <c r="AZ46" s="23"/>
      <c r="BL46" s="10"/>
      <c r="BM46" s="1"/>
      <c r="BN46" s="1"/>
      <c r="BQ46" s="33" t="s">
        <v>85</v>
      </c>
      <c r="BR46" s="15">
        <f>SUM(BR42:BR45)</f>
        <v>0</v>
      </c>
      <c r="BT46" s="373"/>
      <c r="BU46" s="373"/>
      <c r="BV46" s="373"/>
      <c r="BW46" s="389"/>
      <c r="BX46" s="389"/>
      <c r="BZ46" s="23"/>
      <c r="CC46" s="7" t="e">
        <f>IF(#REF!="","",IF(#REF!="PF",#REF!,0))</f>
        <v>#REF!</v>
      </c>
      <c r="CD46" s="7" t="e">
        <f>IF(#REF!="","",IF(#REF!="PF",IF((#REF!+4)&lt;YEAR(#REF!),0,#REF!),0))</f>
        <v>#REF!</v>
      </c>
      <c r="CE46" s="7" t="e">
        <f>IF(#REF!="","",IF(AND(CD46&gt;0,#REF!&lt;&gt;""),CC46,0))</f>
        <v>#REF!</v>
      </c>
      <c r="CF46" s="7" t="e">
        <f>IF(#REF!="","",IF(AND($CE46&gt;0,#REF!= "GRENACHE N"),#REF!,0))</f>
        <v>#REF!</v>
      </c>
      <c r="CG46" s="7" t="e">
        <f>IF(#REF!="","",IF(AND($CE46&gt;0,#REF!="SYRAH N"),#REF!,0))</f>
        <v>#REF!</v>
      </c>
      <c r="CH46" s="7" t="e">
        <f>IF(#REF!="","",IF(AND($CE46&gt;0,#REF!="CINSAUT N"),#REF!,0))</f>
        <v>#REF!</v>
      </c>
      <c r="CI46" s="7" t="e">
        <f>IF(#REF!="","",IF(AND($CE46&gt;0,#REF!="TIBOUREN N"),#REF!,0))</f>
        <v>#REF!</v>
      </c>
      <c r="CJ46" s="7" t="e">
        <f>IF(#REF!="","",IF(AND($CE46&gt;0,#REF!="MOURVEDRE N"),#REF!,0))</f>
        <v>#REF!</v>
      </c>
      <c r="CK46" s="7" t="e">
        <f>IF(#REF!="","",IF(AND($CE46&gt;0,#REF!="CARIGNAN N"),#REF!,0))</f>
        <v>#REF!</v>
      </c>
      <c r="CL46" s="7" t="e">
        <f>IF(#REF!="","",IF(AND($CE46&gt;0,#REF!="CABERNET SAUVIGNON N"),#REF!,0))</f>
        <v>#REF!</v>
      </c>
      <c r="CM46" s="7" t="e">
        <f>IF(#REF!="","",IF(AND($CE46&gt;0,#REF!="VERMENTINO B"),#REF!,0))</f>
        <v>#REF!</v>
      </c>
      <c r="CN46" s="7" t="e">
        <f>IF(#REF!="","",IF(AND($CE46&gt;0,#REF!="UGNI BLANC B"),#REF!,0))</f>
        <v>#REF!</v>
      </c>
      <c r="CO46" s="7" t="e">
        <f>IF(#REF!="","",IF(AND($CE46&gt;0,#REF!="CLAIRETTE B"),#REF!,0))</f>
        <v>#REF!</v>
      </c>
      <c r="CP46" s="7" t="e">
        <f>IF(#REF!="","",IF(AND($CE46&gt;0,#REF!="semillon B"),#REF!,0))</f>
        <v>#REF!</v>
      </c>
      <c r="CQ46" s="7" t="e">
        <f>IF(#REF!="","",IF(CE46=0,CC46,0))</f>
        <v>#REF!</v>
      </c>
      <c r="CR46" s="17"/>
      <c r="DB46" s="20"/>
      <c r="DC46" s="23" t="s">
        <v>95</v>
      </c>
      <c r="DE46" s="2">
        <f>0.1*DE44</f>
        <v>0</v>
      </c>
      <c r="DG46" s="33" t="s">
        <v>85</v>
      </c>
      <c r="DH46" s="15">
        <f>SUM(DH42:DH45)</f>
        <v>0</v>
      </c>
      <c r="DJ46" s="373"/>
      <c r="DK46" s="373"/>
      <c r="DL46" s="373"/>
      <c r="DM46" s="389"/>
      <c r="DN46" s="389"/>
      <c r="DP46" s="23" t="s">
        <v>66</v>
      </c>
      <c r="DR46" s="2" t="e">
        <f>DH38*100/(DM37+DH37+DH38+DH39+DH46)</f>
        <v>#DIV/0!</v>
      </c>
    </row>
    <row r="47" spans="1:157" ht="15.75" customHeight="1" x14ac:dyDescent="0.25">
      <c r="I47" s="49"/>
      <c r="J47" s="49"/>
      <c r="K47" s="49"/>
      <c r="L47" s="49"/>
      <c r="M47" s="49"/>
      <c r="N47" s="49"/>
      <c r="O47" s="49"/>
      <c r="P47" s="11">
        <f>B6/($B$34+0.00001)</f>
        <v>0</v>
      </c>
      <c r="Q47" s="7">
        <f>IF(P47&lt;90%,B6,9*(B7+B8+B9+B5))</f>
        <v>0</v>
      </c>
      <c r="R47" s="9">
        <f>T47/(B$10+0.00001)</f>
        <v>0</v>
      </c>
      <c r="S47" s="8">
        <f>IF(OR($Q$46=$B$10,$Q$47=$B$10,$Q$48=$B$10,$Q$49=$B$10,$Q$50=$B$10,P47=100%),0,Q47)</f>
        <v>0</v>
      </c>
      <c r="T47" s="400">
        <f>S47</f>
        <v>0</v>
      </c>
      <c r="U47" s="400"/>
      <c r="V47" s="49"/>
      <c r="W47" s="49"/>
      <c r="X47" s="49"/>
      <c r="Y47" s="49"/>
      <c r="Z47" s="49"/>
      <c r="AE47" s="30" t="s">
        <v>165</v>
      </c>
      <c r="AF47" s="42">
        <f>AF24</f>
        <v>0</v>
      </c>
      <c r="AG47" s="2"/>
      <c r="AH47" s="48"/>
      <c r="AI47" s="48"/>
      <c r="AJ47" s="48"/>
      <c r="AK47" s="20"/>
      <c r="AL47" s="20"/>
      <c r="AM47" s="49"/>
      <c r="AQ47" s="3"/>
      <c r="AR47" s="18"/>
      <c r="AS47" s="18"/>
      <c r="AT47" s="18"/>
      <c r="AU47" s="16"/>
      <c r="AW47" s="19"/>
      <c r="AX47" s="19"/>
      <c r="AY47" s="10"/>
      <c r="AZ47" s="23"/>
      <c r="BD47" s="340" t="e">
        <f>CONCATENATE("Règles d'encépagement et potentiel de production : ",#REF!)</f>
        <v>#REF!</v>
      </c>
      <c r="BE47" s="341"/>
      <c r="BF47" s="341"/>
      <c r="BG47" s="341"/>
      <c r="BH47" s="341"/>
      <c r="BI47" s="341"/>
      <c r="BJ47" s="341"/>
      <c r="BK47" s="342"/>
      <c r="BL47" s="10"/>
      <c r="BM47" s="1"/>
      <c r="BN47" s="1"/>
      <c r="BQ47" s="26" t="s">
        <v>73</v>
      </c>
      <c r="BR47" s="27">
        <f>BR46+BR40+BR35</f>
        <v>150</v>
      </c>
      <c r="BT47" s="363" t="s">
        <v>83</v>
      </c>
      <c r="BU47" s="364"/>
      <c r="BV47" s="365"/>
      <c r="BW47" s="361">
        <f>IF(OR(CB88&gt;CB87,CB88=CB87),CB89,CB97)</f>
        <v>0</v>
      </c>
      <c r="BX47" s="362"/>
      <c r="BZ47" s="23"/>
      <c r="CC47" s="7" t="e">
        <f>IF(#REF!="","",IF(#REF!="PF",#REF!,0))</f>
        <v>#REF!</v>
      </c>
      <c r="CD47" s="7" t="e">
        <f>IF(#REF!="","",IF(#REF!="PF",IF((#REF!+4)&lt;YEAR(#REF!),0,#REF!),0))</f>
        <v>#REF!</v>
      </c>
      <c r="CE47" s="7" t="e">
        <f>IF(#REF!="","",IF(AND(CD47&gt;0,#REF!&lt;&gt;""),CC47,0))</f>
        <v>#REF!</v>
      </c>
      <c r="CF47" s="7" t="e">
        <f>IF(#REF!="","",IF(AND($CE47&gt;0,#REF!= "GRENACHE N"),#REF!,0))</f>
        <v>#REF!</v>
      </c>
      <c r="CG47" s="7" t="e">
        <f>IF(#REF!="","",IF(AND($CE47&gt;0,#REF!="SYRAH N"),#REF!,0))</f>
        <v>#REF!</v>
      </c>
      <c r="CH47" s="7" t="e">
        <f>IF(#REF!="","",IF(AND($CE47&gt;0,#REF!="CINSAUT N"),#REF!,0))</f>
        <v>#REF!</v>
      </c>
      <c r="CI47" s="7" t="e">
        <f>IF(#REF!="","",IF(AND($CE47&gt;0,#REF!="TIBOUREN N"),#REF!,0))</f>
        <v>#REF!</v>
      </c>
      <c r="CJ47" s="7" t="e">
        <f>IF(#REF!="","",IF(AND($CE47&gt;0,#REF!="MOURVEDRE N"),#REF!,0))</f>
        <v>#REF!</v>
      </c>
      <c r="CK47" s="7" t="e">
        <f>IF(#REF!="","",IF(AND($CE47&gt;0,#REF!="CARIGNAN N"),#REF!,0))</f>
        <v>#REF!</v>
      </c>
      <c r="CL47" s="7" t="e">
        <f>IF(#REF!="","",IF(AND($CE47&gt;0,#REF!="CABERNET SAUVIGNON N"),#REF!,0))</f>
        <v>#REF!</v>
      </c>
      <c r="CM47" s="7" t="e">
        <f>IF(#REF!="","",IF(AND($CE47&gt;0,#REF!="VERMENTINO B"),#REF!,0))</f>
        <v>#REF!</v>
      </c>
      <c r="CN47" s="7" t="e">
        <f>IF(#REF!="","",IF(AND($CE47&gt;0,#REF!="UGNI BLANC B"),#REF!,0))</f>
        <v>#REF!</v>
      </c>
      <c r="CO47" s="7" t="e">
        <f>IF(#REF!="","",IF(AND($CE47&gt;0,#REF!="CLAIRETTE B"),#REF!,0))</f>
        <v>#REF!</v>
      </c>
      <c r="CP47" s="7" t="e">
        <f>IF(#REF!="","",IF(AND($CE47&gt;0,#REF!="semillon B"),#REF!,0))</f>
        <v>#REF!</v>
      </c>
      <c r="CQ47" s="7" t="e">
        <f>IF(#REF!="","",IF(CE47=0,CC47,0))</f>
        <v>#REF!</v>
      </c>
      <c r="CR47" s="17"/>
      <c r="DB47" s="22"/>
      <c r="DC47" s="23" t="s">
        <v>84</v>
      </c>
      <c r="DE47" s="12">
        <f>IF(DE46=0,0,IF(CU37+CU38+CU39&gt;DE46,DE46,CU37+CU38+CU39))</f>
        <v>0</v>
      </c>
      <c r="DG47" s="26" t="s">
        <v>73</v>
      </c>
      <c r="DH47" s="27">
        <f>DH46+DH40+DH35</f>
        <v>0</v>
      </c>
      <c r="DJ47" s="363" t="s">
        <v>83</v>
      </c>
      <c r="DK47" s="364"/>
      <c r="DL47" s="365"/>
      <c r="DM47" s="361">
        <f>IF(OR(DR73&gt;DR72,DR73=DR72),DR74,DR82)</f>
        <v>0</v>
      </c>
      <c r="DN47" s="362"/>
      <c r="DP47" t="s">
        <v>108</v>
      </c>
      <c r="DR47" s="2">
        <f>0.1*(DM37+DH37+DH38+DH39+DH46)</f>
        <v>0</v>
      </c>
    </row>
    <row r="48" spans="1:157" ht="15.75" x14ac:dyDescent="0.25">
      <c r="I48" s="10"/>
      <c r="J48" s="10"/>
      <c r="K48" s="10"/>
      <c r="L48" s="10"/>
      <c r="M48" s="10"/>
      <c r="N48" s="10"/>
      <c r="O48" s="10"/>
      <c r="P48" s="11">
        <f>B7/($B$34+0.00001)</f>
        <v>0</v>
      </c>
      <c r="Q48" s="7">
        <f>IF(P48&lt;90%,B7,9*(B8+B9+B6+B5))</f>
        <v>0</v>
      </c>
      <c r="R48" s="9">
        <f>T48/(B$10+0.00001)</f>
        <v>0</v>
      </c>
      <c r="S48" s="8">
        <f>IF(OR($Q$46=$B$10,$Q$47=$B$10,$Q$48=$B$10,$Q$49=$B$10,$Q$50=$B$10,P48=100%),0,Q48)</f>
        <v>0</v>
      </c>
      <c r="T48" s="400">
        <f>S48</f>
        <v>0</v>
      </c>
      <c r="U48" s="400"/>
      <c r="V48" s="10"/>
      <c r="W48" s="10"/>
      <c r="X48" s="10"/>
      <c r="Y48" s="10"/>
      <c r="Z48" s="10"/>
      <c r="AE48" s="33" t="s">
        <v>85</v>
      </c>
      <c r="AF48" s="42">
        <f>SUM(AF43:AF47)</f>
        <v>0</v>
      </c>
      <c r="AG48" s="44"/>
      <c r="AH48" s="39"/>
      <c r="AI48" s="39"/>
      <c r="AJ48" s="39"/>
      <c r="AK48" s="35"/>
      <c r="AL48" s="22"/>
      <c r="AM48" s="10"/>
      <c r="AQ48" s="3"/>
      <c r="AR48" s="18"/>
      <c r="AS48" s="18"/>
      <c r="AT48" s="18"/>
      <c r="AU48" s="16"/>
      <c r="AW48" s="19"/>
      <c r="AX48" s="19"/>
      <c r="AY48" s="10"/>
      <c r="AZ48" s="23"/>
      <c r="BD48" s="343"/>
      <c r="BE48" s="344"/>
      <c r="BF48" s="344"/>
      <c r="BG48" s="344"/>
      <c r="BH48" s="344"/>
      <c r="BI48" s="344"/>
      <c r="BJ48" s="344"/>
      <c r="BK48" s="345"/>
      <c r="BL48" s="10"/>
      <c r="BM48" s="1"/>
      <c r="BN48" s="1"/>
      <c r="BT48" s="367" t="s">
        <v>74</v>
      </c>
      <c r="BU48" s="368"/>
      <c r="BV48" s="369"/>
      <c r="BW48" s="21">
        <f>IF(BV53=0,0,BW47*100/BV53)</f>
        <v>0</v>
      </c>
      <c r="BX48" s="55" t="s">
        <v>56</v>
      </c>
      <c r="BZ48" s="23"/>
      <c r="CC48" s="7" t="e">
        <f>IF(#REF!="","",IF(#REF!="PF",#REF!,0))</f>
        <v>#REF!</v>
      </c>
      <c r="CD48" s="7" t="e">
        <f>IF(#REF!="","",IF(#REF!="PF",IF((#REF!+4)&lt;YEAR(#REF!),0,#REF!),0))</f>
        <v>#REF!</v>
      </c>
      <c r="CE48" s="7" t="e">
        <f>IF(#REF!="","",IF(AND(CD48&gt;0,#REF!&lt;&gt;""),CC48,0))</f>
        <v>#REF!</v>
      </c>
      <c r="CF48" s="7" t="e">
        <f>IF(#REF!="","",IF(AND($CE48&gt;0,#REF!= "GRENACHE N"),#REF!,0))</f>
        <v>#REF!</v>
      </c>
      <c r="CG48" s="7" t="e">
        <f>IF(#REF!="","",IF(AND($CE48&gt;0,#REF!="SYRAH N"),#REF!,0))</f>
        <v>#REF!</v>
      </c>
      <c r="CH48" s="7" t="e">
        <f>IF(#REF!="","",IF(AND($CE48&gt;0,#REF!="CINSAUT N"),#REF!,0))</f>
        <v>#REF!</v>
      </c>
      <c r="CI48" s="7" t="e">
        <f>IF(#REF!="","",IF(AND($CE48&gt;0,#REF!="TIBOUREN N"),#REF!,0))</f>
        <v>#REF!</v>
      </c>
      <c r="CJ48" s="7" t="e">
        <f>IF(#REF!="","",IF(AND($CE48&gt;0,#REF!="MOURVEDRE N"),#REF!,0))</f>
        <v>#REF!</v>
      </c>
      <c r="CK48" s="7" t="e">
        <f>IF(#REF!="","",IF(AND($CE48&gt;0,#REF!="CARIGNAN N"),#REF!,0))</f>
        <v>#REF!</v>
      </c>
      <c r="CL48" s="7" t="e">
        <f>IF(#REF!="","",IF(AND($CE48&gt;0,#REF!="CABERNET SAUVIGNON N"),#REF!,0))</f>
        <v>#REF!</v>
      </c>
      <c r="CM48" s="7" t="e">
        <f>IF(#REF!="","",IF(AND($CE48&gt;0,#REF!="VERMENTINO B"),#REF!,0))</f>
        <v>#REF!</v>
      </c>
      <c r="CN48" s="7" t="e">
        <f>IF(#REF!="","",IF(AND($CE48&gt;0,#REF!="UGNI BLANC B"),#REF!,0))</f>
        <v>#REF!</v>
      </c>
      <c r="CO48" s="7" t="e">
        <f>IF(#REF!="","",IF(AND($CE48&gt;0,#REF!="CLAIRETTE B"),#REF!,0))</f>
        <v>#REF!</v>
      </c>
      <c r="CP48" s="7" t="e">
        <f>IF(#REF!="","",IF(AND($CE48&gt;0,#REF!="semillon B"),#REF!,0))</f>
        <v>#REF!</v>
      </c>
      <c r="CQ48" s="7" t="e">
        <f>IF(#REF!="","",IF(CE48=0,CC48,0))</f>
        <v>#REF!</v>
      </c>
      <c r="CR48" s="17"/>
      <c r="DB48" s="20"/>
      <c r="DC48" s="23"/>
      <c r="DJ48" s="367" t="s">
        <v>74</v>
      </c>
      <c r="DK48" s="368"/>
      <c r="DL48" s="369"/>
      <c r="DM48" s="21">
        <f>IF(DL53=0,0,DM47*100/DL53)</f>
        <v>0</v>
      </c>
      <c r="DN48" s="55" t="s">
        <v>56</v>
      </c>
      <c r="DP48" t="s">
        <v>72</v>
      </c>
      <c r="DR48" s="2">
        <f>DH38</f>
        <v>0</v>
      </c>
    </row>
    <row r="49" spans="1:122" ht="16.5" customHeight="1" x14ac:dyDescent="0.25">
      <c r="A49" s="5"/>
      <c r="B49" s="5"/>
      <c r="C49" s="5"/>
      <c r="D49" s="48"/>
      <c r="E49" s="48"/>
      <c r="F49" s="48"/>
      <c r="G49" s="20"/>
      <c r="H49" s="20"/>
      <c r="I49" s="49"/>
      <c r="J49" s="49"/>
      <c r="K49" s="49"/>
      <c r="L49" s="49"/>
      <c r="M49" s="49"/>
      <c r="N49" s="49"/>
      <c r="O49" s="49"/>
      <c r="P49" s="11">
        <f>B8/($B$34+0.00001)</f>
        <v>0</v>
      </c>
      <c r="Q49" s="7">
        <f>IF(P49&lt;90%,B8,9*(B5+B9+B7+B6))</f>
        <v>0</v>
      </c>
      <c r="R49" s="9">
        <f>T49/(B$10+0.00001)</f>
        <v>0</v>
      </c>
      <c r="S49" s="8">
        <f>IF(OR($Q$46=$B$10,$Q$47=$B$10,$Q$48=$B$10,$Q$49=$B$10,$Q$50=$B$10,P49=100%),0,Q49)</f>
        <v>0</v>
      </c>
      <c r="T49" s="400">
        <f>S49</f>
        <v>0</v>
      </c>
      <c r="U49" s="400"/>
      <c r="V49" s="49"/>
      <c r="W49" s="49"/>
      <c r="X49" s="49"/>
      <c r="Y49" s="49"/>
      <c r="Z49" s="49"/>
      <c r="AA49" s="45" t="s">
        <v>190</v>
      </c>
      <c r="AB49" s="46">
        <f>5/95*(R29)</f>
        <v>0</v>
      </c>
      <c r="AE49" s="5"/>
      <c r="AF49" s="5"/>
      <c r="AG49" s="5"/>
      <c r="AH49" s="48"/>
      <c r="AI49" s="48"/>
      <c r="AJ49" s="48"/>
      <c r="AK49" s="20"/>
      <c r="AL49" s="20"/>
      <c r="AM49" s="49"/>
      <c r="AN49" s="45" t="s">
        <v>190</v>
      </c>
      <c r="AO49" s="46">
        <f>5/95*(AK43)</f>
        <v>0</v>
      </c>
      <c r="AQ49" s="3"/>
      <c r="AR49" s="18"/>
      <c r="AS49" s="18"/>
      <c r="AT49" s="18"/>
      <c r="AU49" s="16"/>
      <c r="AW49" s="19"/>
      <c r="AX49" s="19"/>
      <c r="AY49" s="10"/>
      <c r="AZ49" s="23"/>
      <c r="BD49" s="346" t="s">
        <v>114</v>
      </c>
      <c r="BE49" s="347"/>
      <c r="BF49" s="347"/>
      <c r="BG49" s="347"/>
      <c r="BH49" s="347"/>
      <c r="BI49" s="347"/>
      <c r="BJ49" s="347"/>
      <c r="BK49" s="348"/>
      <c r="BL49" s="10"/>
      <c r="BM49" s="1"/>
      <c r="BN49" s="1"/>
      <c r="BT49" s="367" t="s">
        <v>87</v>
      </c>
      <c r="BU49" s="368"/>
      <c r="BV49" s="369"/>
      <c r="BW49" s="361">
        <f>IF(OR(CB88&gt;CB87,CB88=CB87),CB86,CB93)</f>
        <v>0</v>
      </c>
      <c r="BX49" s="362"/>
      <c r="BZ49" s="23"/>
      <c r="CC49" s="7" t="e">
        <f>IF(#REF!="","",IF(#REF!="PF",#REF!,0))</f>
        <v>#REF!</v>
      </c>
      <c r="CD49" s="7" t="e">
        <f>IF(#REF!="","",IF(#REF!="PF",IF((#REF!+4)&lt;YEAR(#REF!),0,#REF!),0))</f>
        <v>#REF!</v>
      </c>
      <c r="CE49" s="7" t="e">
        <f>IF(#REF!="","",IF(AND(CD49&gt;0,#REF!&lt;&gt;""),CC49,0))</f>
        <v>#REF!</v>
      </c>
      <c r="CF49" s="7" t="e">
        <f>IF(#REF!="","",IF(AND($CE49&gt;0,#REF!= "GRENACHE N"),#REF!,0))</f>
        <v>#REF!</v>
      </c>
      <c r="CG49" s="7" t="e">
        <f>IF(#REF!="","",IF(AND($CE49&gt;0,#REF!="SYRAH N"),#REF!,0))</f>
        <v>#REF!</v>
      </c>
      <c r="CH49" s="7" t="e">
        <f>IF(#REF!="","",IF(AND($CE49&gt;0,#REF!="CINSAUT N"),#REF!,0))</f>
        <v>#REF!</v>
      </c>
      <c r="CI49" s="7" t="e">
        <f>IF(#REF!="","",IF(AND($CE49&gt;0,#REF!="TIBOUREN N"),#REF!,0))</f>
        <v>#REF!</v>
      </c>
      <c r="CJ49" s="7" t="e">
        <f>IF(#REF!="","",IF(AND($CE49&gt;0,#REF!="MOURVEDRE N"),#REF!,0))</f>
        <v>#REF!</v>
      </c>
      <c r="CK49" s="7" t="e">
        <f>IF(#REF!="","",IF(AND($CE49&gt;0,#REF!="CARIGNAN N"),#REF!,0))</f>
        <v>#REF!</v>
      </c>
      <c r="CL49" s="7" t="e">
        <f>IF(#REF!="","",IF(AND($CE49&gt;0,#REF!="CABERNET SAUVIGNON N"),#REF!,0))</f>
        <v>#REF!</v>
      </c>
      <c r="CM49" s="7" t="e">
        <f>IF(#REF!="","",IF(AND($CE49&gt;0,#REF!="VERMENTINO B"),#REF!,0))</f>
        <v>#REF!</v>
      </c>
      <c r="CN49" s="7" t="e">
        <f>IF(#REF!="","",IF(AND($CE49&gt;0,#REF!="UGNI BLANC B"),#REF!,0))</f>
        <v>#REF!</v>
      </c>
      <c r="CO49" s="7" t="e">
        <f>IF(#REF!="","",IF(AND($CE49&gt;0,#REF!="CLAIRETTE B"),#REF!,0))</f>
        <v>#REF!</v>
      </c>
      <c r="CP49" s="7" t="e">
        <f>IF(#REF!="","",IF(AND($CE49&gt;0,#REF!="semillon B"),#REF!,0))</f>
        <v>#REF!</v>
      </c>
      <c r="CQ49" s="7" t="e">
        <f>IF(#REF!="","",IF(CE49=0,CC49,0))</f>
        <v>#REF!</v>
      </c>
      <c r="CR49" s="17"/>
      <c r="DB49" s="32"/>
      <c r="DC49" s="23" t="s">
        <v>88</v>
      </c>
      <c r="DE49" s="2">
        <f>DE32-DE47</f>
        <v>0</v>
      </c>
      <c r="DJ49" s="367" t="s">
        <v>87</v>
      </c>
      <c r="DK49" s="368"/>
      <c r="DL49" s="369"/>
      <c r="DM49" s="361">
        <f>IF(OR(DR73&gt;DR72,DR73=DR72),DR71,DR78)</f>
        <v>0</v>
      </c>
      <c r="DN49" s="362"/>
      <c r="DP49" t="s">
        <v>76</v>
      </c>
      <c r="DR49" s="2">
        <f>IF(DR48&gt;DR47,DR47,DR48)</f>
        <v>0</v>
      </c>
    </row>
    <row r="50" spans="1:122" ht="16.5" customHeight="1" x14ac:dyDescent="0.25">
      <c r="I50" s="49"/>
      <c r="J50" s="49"/>
      <c r="K50" s="49"/>
      <c r="L50" s="49"/>
      <c r="M50" s="49"/>
      <c r="N50" s="49"/>
      <c r="O50" s="49"/>
      <c r="P50" s="11">
        <f>B9/($B$34+0.00001)</f>
        <v>0</v>
      </c>
      <c r="Q50" s="7">
        <f>IF(P50&lt;90%,B9,9*(B8+B5+B6+B7))</f>
        <v>0</v>
      </c>
      <c r="R50" s="9">
        <f>T50/(B$10+0.00001)</f>
        <v>0</v>
      </c>
      <c r="S50" s="8">
        <f>IF(OR($Q$46=$B$10,$Q$47=$B$10,$Q$48=$B$10,$Q$49=$B$10,$Q$50=$B$10,P50=100%),0,Q50)</f>
        <v>0</v>
      </c>
      <c r="T50" s="400">
        <f>S50</f>
        <v>0</v>
      </c>
      <c r="U50" s="400"/>
      <c r="V50" s="49"/>
      <c r="W50" s="49"/>
      <c r="X50" s="49"/>
      <c r="Y50" s="49"/>
      <c r="Z50" s="49"/>
      <c r="AA50" s="1" t="s">
        <v>193</v>
      </c>
      <c r="AB50" s="2">
        <f>P41</f>
        <v>0</v>
      </c>
      <c r="AE50" s="380" t="s">
        <v>166</v>
      </c>
      <c r="AF50" s="381"/>
      <c r="AG50" s="381"/>
      <c r="AH50" s="381"/>
      <c r="AI50" s="382"/>
      <c r="AJ50" s="355" t="str">
        <f>IF(AF48&lt;=1.5,"!!!!!!!!!!!",AK43+AK44)</f>
        <v>!!!!!!!!!!!</v>
      </c>
      <c r="AK50" s="356"/>
      <c r="AL50" s="357"/>
      <c r="AM50" s="49"/>
      <c r="AN50" s="1" t="s">
        <v>193</v>
      </c>
      <c r="AO50" s="2">
        <f>AF47</f>
        <v>0</v>
      </c>
      <c r="AQ50" s="388"/>
      <c r="AR50" s="388"/>
      <c r="AS50" s="5"/>
      <c r="AY50" s="10"/>
      <c r="AZ50" s="23"/>
      <c r="BD50" s="384" t="s">
        <v>23</v>
      </c>
      <c r="BE50" s="386" t="s">
        <v>33</v>
      </c>
      <c r="BF50" s="386" t="s">
        <v>25</v>
      </c>
      <c r="BG50" s="6"/>
      <c r="BH50" s="6"/>
      <c r="BI50" s="6"/>
      <c r="BJ50" s="37"/>
      <c r="BK50" s="37"/>
      <c r="BL50" s="10"/>
      <c r="BM50" s="23" t="s">
        <v>81</v>
      </c>
      <c r="BN50" s="1"/>
      <c r="BO50" s="2">
        <f>(BE38+BE39+BE40)-(1/0.9)*(BE38+BE39+BE40)+(0.1/0.9)*(BJ30+BJ34+BE38+BE39+BE40+BE37)</f>
        <v>0</v>
      </c>
      <c r="BS50" s="18"/>
      <c r="BT50" s="367" t="s">
        <v>80</v>
      </c>
      <c r="BU50" s="368"/>
      <c r="BV50" s="369"/>
      <c r="BW50" s="21">
        <f>IF(BV53=0,0,BW49*100/BV53)</f>
        <v>0</v>
      </c>
      <c r="BX50" s="55" t="s">
        <v>56</v>
      </c>
      <c r="BY50" s="3"/>
      <c r="BZ50" s="23" t="s">
        <v>89</v>
      </c>
      <c r="CB50" s="2">
        <f>IF(BR15=0,0,IF(BR15&gt;CB38,CB38,BR15))</f>
        <v>0</v>
      </c>
      <c r="CC50" s="7" t="e">
        <f>IF(#REF!="","",IF(#REF!="PF",#REF!,0))</f>
        <v>#REF!</v>
      </c>
      <c r="CD50" s="7" t="e">
        <f>IF(#REF!="","",IF(#REF!="PF",IF((#REF!+4)&lt;YEAR(#REF!),0,#REF!),0))</f>
        <v>#REF!</v>
      </c>
      <c r="CE50" s="7" t="e">
        <f>IF(#REF!="","",IF(AND(CD50&gt;0,#REF!&lt;&gt;""),CC50,0))</f>
        <v>#REF!</v>
      </c>
      <c r="CF50" s="7" t="e">
        <f>IF(#REF!="","",IF(AND($CE50&gt;0,#REF!= "GRENACHE N"),#REF!,0))</f>
        <v>#REF!</v>
      </c>
      <c r="CG50" s="7" t="e">
        <f>IF(#REF!="","",IF(AND($CE50&gt;0,#REF!="SYRAH N"),#REF!,0))</f>
        <v>#REF!</v>
      </c>
      <c r="CH50" s="7" t="e">
        <f>IF(#REF!="","",IF(AND($CE50&gt;0,#REF!="CINSAUT N"),#REF!,0))</f>
        <v>#REF!</v>
      </c>
      <c r="CI50" s="7" t="e">
        <f>IF(#REF!="","",IF(AND($CE50&gt;0,#REF!="TIBOUREN N"),#REF!,0))</f>
        <v>#REF!</v>
      </c>
      <c r="CJ50" s="7" t="e">
        <f>IF(#REF!="","",IF(AND($CE50&gt;0,#REF!="MOURVEDRE N"),#REF!,0))</f>
        <v>#REF!</v>
      </c>
      <c r="CK50" s="7" t="e">
        <f>IF(#REF!="","",IF(AND($CE50&gt;0,#REF!="CARIGNAN N"),#REF!,0))</f>
        <v>#REF!</v>
      </c>
      <c r="CL50" s="7" t="e">
        <f>IF(#REF!="","",IF(AND($CE50&gt;0,#REF!="CABERNET SAUVIGNON N"),#REF!,0))</f>
        <v>#REF!</v>
      </c>
      <c r="CM50" s="7" t="e">
        <f>IF(#REF!="","",IF(AND($CE50&gt;0,#REF!="VERMENTINO B"),#REF!,0))</f>
        <v>#REF!</v>
      </c>
      <c r="CN50" s="7" t="e">
        <f>IF(#REF!="","",IF(AND($CE50&gt;0,#REF!="UGNI BLANC B"),#REF!,0))</f>
        <v>#REF!</v>
      </c>
      <c r="CO50" s="7" t="e">
        <f>IF(#REF!="","",IF(AND($CE50&gt;0,#REF!="CLAIRETTE B"),#REF!,0))</f>
        <v>#REF!</v>
      </c>
      <c r="CP50" s="7" t="e">
        <f>IF(#REF!="","",IF(AND($CE50&gt;0,#REF!="semillon B"),#REF!,0))</f>
        <v>#REF!</v>
      </c>
      <c r="CQ50" s="7" t="e">
        <f>IF(#REF!="","",IF(CE50=0,CC50,0))</f>
        <v>#REF!</v>
      </c>
      <c r="CR50" s="17"/>
      <c r="DB50" s="32"/>
      <c r="DC50" s="23" t="s">
        <v>89</v>
      </c>
      <c r="DE50" s="2">
        <f>IF(CU36=0,0,IF(CU36&gt;DE49,DE49,CU36))</f>
        <v>0</v>
      </c>
      <c r="DI50" s="18"/>
      <c r="DJ50" s="367" t="s">
        <v>80</v>
      </c>
      <c r="DK50" s="368"/>
      <c r="DL50" s="369"/>
      <c r="DM50" s="21">
        <f>IF(DL53=0,0,DM49*100/DL53)</f>
        <v>0</v>
      </c>
      <c r="DN50" s="55" t="s">
        <v>56</v>
      </c>
      <c r="DO50" s="3"/>
      <c r="DP50" s="1"/>
      <c r="DQ50" s="5"/>
    </row>
    <row r="51" spans="1:122" ht="16.5" customHeight="1" x14ac:dyDescent="0.25"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t="s">
        <v>198</v>
      </c>
      <c r="AB51" s="2">
        <f>IF(AB50&gt;AB49,AB49,AB50)</f>
        <v>0</v>
      </c>
      <c r="AE51" s="349" t="s">
        <v>167</v>
      </c>
      <c r="AF51" s="350"/>
      <c r="AG51" s="350"/>
      <c r="AH51" s="350"/>
      <c r="AI51" s="351"/>
      <c r="AJ51" s="358" t="str">
        <f>IF(AF48&lt;=1.5,"!!!!!!!!!!!",AF47-AK44)</f>
        <v>!!!!!!!!!!!</v>
      </c>
      <c r="AK51" s="359"/>
      <c r="AL51" s="360"/>
      <c r="AM51" s="10"/>
      <c r="AQ51" s="36"/>
      <c r="AY51" s="19"/>
      <c r="BD51" s="385"/>
      <c r="BE51" s="387"/>
      <c r="BF51" s="387"/>
      <c r="BG51" s="6"/>
      <c r="BH51" s="6"/>
      <c r="BI51" s="6"/>
      <c r="BJ51" s="37"/>
      <c r="BK51" s="37"/>
      <c r="BL51" s="19"/>
      <c r="BM51" s="23" t="s">
        <v>84</v>
      </c>
      <c r="BN51" s="1"/>
      <c r="BO51" s="2">
        <f>IF(BO50=0,0,IF(BE38+BE39+BE40&gt;BO50,BO50,BE38+BE39+BE40))</f>
        <v>0</v>
      </c>
      <c r="BT51" s="370" t="s">
        <v>90</v>
      </c>
      <c r="BU51" s="371"/>
      <c r="BV51" s="372"/>
      <c r="BW51" s="361">
        <f>IF(BR46&lt;BW47,0,BR46-BW47)</f>
        <v>0</v>
      </c>
      <c r="BX51" s="362"/>
      <c r="BY51" s="3"/>
      <c r="BZ51" s="23" t="s">
        <v>92</v>
      </c>
      <c r="CB51" s="12">
        <f>CB50+CB36</f>
        <v>0</v>
      </c>
      <c r="CC51" s="7" t="e">
        <f>IF(#REF!="","",IF(#REF!="PF",#REF!,0))</f>
        <v>#REF!</v>
      </c>
      <c r="CD51" s="7" t="e">
        <f>IF(#REF!="","",IF(#REF!="PF",IF((#REF!+4)&lt;YEAR(#REF!),0,#REF!),0))</f>
        <v>#REF!</v>
      </c>
      <c r="CE51" s="7" t="e">
        <f>IF(#REF!="","",IF(AND(CD51&gt;0,#REF!&lt;&gt;""),CC51,0))</f>
        <v>#REF!</v>
      </c>
      <c r="CF51" s="7" t="e">
        <f>IF(#REF!="","",IF(AND($CE51&gt;0,#REF!= "GRENACHE N"),#REF!,0))</f>
        <v>#REF!</v>
      </c>
      <c r="CG51" s="7" t="e">
        <f>IF(#REF!="","",IF(AND($CE51&gt;0,#REF!="SYRAH N"),#REF!,0))</f>
        <v>#REF!</v>
      </c>
      <c r="CH51" s="7" t="e">
        <f>IF(#REF!="","",IF(AND($CE51&gt;0,#REF!="CINSAUT N"),#REF!,0))</f>
        <v>#REF!</v>
      </c>
      <c r="CI51" s="7" t="e">
        <f>IF(#REF!="","",IF(AND($CE51&gt;0,#REF!="TIBOUREN N"),#REF!,0))</f>
        <v>#REF!</v>
      </c>
      <c r="CJ51" s="7" t="e">
        <f>IF(#REF!="","",IF(AND($CE51&gt;0,#REF!="MOURVEDRE N"),#REF!,0))</f>
        <v>#REF!</v>
      </c>
      <c r="CK51" s="7" t="e">
        <f>IF(#REF!="","",IF(AND($CE51&gt;0,#REF!="CARIGNAN N"),#REF!,0))</f>
        <v>#REF!</v>
      </c>
      <c r="CL51" s="7" t="e">
        <f>IF(#REF!="","",IF(AND($CE51&gt;0,#REF!="CABERNET SAUVIGNON N"),#REF!,0))</f>
        <v>#REF!</v>
      </c>
      <c r="CM51" s="7" t="e">
        <f>IF(#REF!="","",IF(AND($CE51&gt;0,#REF!="VERMENTINO B"),#REF!,0))</f>
        <v>#REF!</v>
      </c>
      <c r="CN51" s="7" t="e">
        <f>IF(#REF!="","",IF(AND($CE51&gt;0,#REF!="UGNI BLANC B"),#REF!,0))</f>
        <v>#REF!</v>
      </c>
      <c r="CO51" s="7" t="e">
        <f>IF(#REF!="","",IF(AND($CE51&gt;0,#REF!="CLAIRETTE B"),#REF!,0))</f>
        <v>#REF!</v>
      </c>
      <c r="CP51" s="7" t="e">
        <f>IF(#REF!="","",IF(AND($CE51&gt;0,#REF!="semillon B"),#REF!,0))</f>
        <v>#REF!</v>
      </c>
      <c r="CQ51" s="7" t="e">
        <f>IF(#REF!="","",IF(CE51=0,CC51,0))</f>
        <v>#REF!</v>
      </c>
      <c r="CR51" s="17"/>
      <c r="DB51" s="32"/>
      <c r="DC51" s="23" t="s">
        <v>92</v>
      </c>
      <c r="DE51" s="12">
        <f>DE50+DE47</f>
        <v>0</v>
      </c>
      <c r="DJ51" s="370" t="s">
        <v>90</v>
      </c>
      <c r="DK51" s="371"/>
      <c r="DL51" s="372"/>
      <c r="DM51" s="361">
        <f>IF(DH46&lt;DM47,0,DH46-DM47)</f>
        <v>0</v>
      </c>
      <c r="DN51" s="362"/>
      <c r="DO51" s="3"/>
      <c r="DP51" s="1" t="s">
        <v>109</v>
      </c>
      <c r="DR51" s="2">
        <f>DR47+DH37+DH39</f>
        <v>0</v>
      </c>
    </row>
    <row r="52" spans="1:122" ht="16.5" customHeight="1" x14ac:dyDescent="0.25"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1"/>
      <c r="AE52" s="438"/>
      <c r="AF52" s="438"/>
      <c r="AG52" s="438"/>
      <c r="AH52" s="438"/>
      <c r="AI52" s="438"/>
      <c r="AJ52" s="383"/>
      <c r="AK52" s="383"/>
      <c r="AL52" s="383"/>
      <c r="AM52" s="49"/>
      <c r="AN52" s="1"/>
      <c r="AQ52" s="36"/>
      <c r="AY52" s="20"/>
      <c r="BD52" s="28" t="s">
        <v>126</v>
      </c>
      <c r="BE52" s="7"/>
      <c r="BF52" s="11">
        <f>BE52/($BE$60+0.00001)</f>
        <v>0</v>
      </c>
      <c r="BG52" s="363" t="s">
        <v>58</v>
      </c>
      <c r="BH52" s="364"/>
      <c r="BI52" s="365"/>
      <c r="BJ52" s="50">
        <f>BE52</f>
        <v>0</v>
      </c>
      <c r="BK52" s="50"/>
      <c r="BL52" s="20"/>
      <c r="BM52" s="23" t="s">
        <v>86</v>
      </c>
      <c r="BN52" s="1"/>
      <c r="BO52" s="2">
        <f>IF(BO51&gt;BO33,BO33,BO51)</f>
        <v>0</v>
      </c>
      <c r="BQ52" s="379"/>
      <c r="BR52" s="379"/>
      <c r="BS52" s="379"/>
      <c r="BT52" s="379"/>
      <c r="BU52" s="379"/>
      <c r="BV52" s="378"/>
      <c r="BW52" s="378"/>
      <c r="BX52" s="378"/>
      <c r="CC52" s="7" t="e">
        <f>IF(#REF!="","",IF(#REF!="PF",#REF!,0))</f>
        <v>#REF!</v>
      </c>
      <c r="CD52" s="7" t="e">
        <f>IF(#REF!="","",IF(#REF!="PF",IF((#REF!+4)&lt;YEAR(#REF!),0,#REF!),0))</f>
        <v>#REF!</v>
      </c>
      <c r="CE52" s="7" t="e">
        <f>IF(#REF!="","",IF(AND(CD52&gt;0,#REF!&lt;&gt;""),CC52,0))</f>
        <v>#REF!</v>
      </c>
      <c r="CF52" s="7" t="e">
        <f>IF(#REF!="","",IF(AND($CE52&gt;0,#REF!= "GRENACHE N"),#REF!,0))</f>
        <v>#REF!</v>
      </c>
      <c r="CG52" s="7" t="e">
        <f>IF(#REF!="","",IF(AND($CE52&gt;0,#REF!="SYRAH N"),#REF!,0))</f>
        <v>#REF!</v>
      </c>
      <c r="CH52" s="7" t="e">
        <f>IF(#REF!="","",IF(AND($CE52&gt;0,#REF!="CINSAUT N"),#REF!,0))</f>
        <v>#REF!</v>
      </c>
      <c r="CI52" s="7" t="e">
        <f>IF(#REF!="","",IF(AND($CE52&gt;0,#REF!="TIBOUREN N"),#REF!,0))</f>
        <v>#REF!</v>
      </c>
      <c r="CJ52" s="7" t="e">
        <f>IF(#REF!="","",IF(AND($CE52&gt;0,#REF!="MOURVEDRE N"),#REF!,0))</f>
        <v>#REF!</v>
      </c>
      <c r="CK52" s="7" t="e">
        <f>IF(#REF!="","",IF(AND($CE52&gt;0,#REF!="CARIGNAN N"),#REF!,0))</f>
        <v>#REF!</v>
      </c>
      <c r="CL52" s="7" t="e">
        <f>IF(#REF!="","",IF(AND($CE52&gt;0,#REF!="CABERNET SAUVIGNON N"),#REF!,0))</f>
        <v>#REF!</v>
      </c>
      <c r="CM52" s="7" t="e">
        <f>IF(#REF!="","",IF(AND($CE52&gt;0,#REF!="VERMENTINO B"),#REF!,0))</f>
        <v>#REF!</v>
      </c>
      <c r="CN52" s="7" t="e">
        <f>IF(#REF!="","",IF(AND($CE52&gt;0,#REF!="UGNI BLANC B"),#REF!,0))</f>
        <v>#REF!</v>
      </c>
      <c r="CO52" s="7" t="e">
        <f>IF(#REF!="","",IF(AND($CE52&gt;0,#REF!="CLAIRETTE B"),#REF!,0))</f>
        <v>#REF!</v>
      </c>
      <c r="CP52" s="7" t="e">
        <f>IF(#REF!="","",IF(AND($CE52&gt;0,#REF!="semillon B"),#REF!,0))</f>
        <v>#REF!</v>
      </c>
      <c r="CQ52" s="7" t="e">
        <f>IF(#REF!="","",IF(CE52=0,CC52,0))</f>
        <v>#REF!</v>
      </c>
      <c r="CR52" s="17"/>
      <c r="DG52" s="379"/>
      <c r="DH52" s="379"/>
      <c r="DI52" s="379"/>
      <c r="DJ52" s="379"/>
      <c r="DK52" s="379"/>
      <c r="DL52" s="378"/>
      <c r="DM52" s="378"/>
      <c r="DN52" s="378"/>
      <c r="DP52" s="1" t="s">
        <v>110</v>
      </c>
      <c r="DR52" s="2">
        <f>DR49+DH37+DH39</f>
        <v>0</v>
      </c>
    </row>
    <row r="53" spans="1:122" ht="16.5" customHeight="1" x14ac:dyDescent="0.25"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19" t="s">
        <v>98</v>
      </c>
      <c r="AN53" s="19" t="s">
        <v>98</v>
      </c>
      <c r="AQ53" s="40"/>
      <c r="AR53" s="40"/>
      <c r="AS53" s="40"/>
      <c r="AT53" s="40"/>
      <c r="AU53" s="40"/>
      <c r="AV53" s="54"/>
      <c r="AW53" s="54"/>
      <c r="AX53" s="54"/>
      <c r="AY53" s="22"/>
      <c r="BD53" s="14" t="s">
        <v>53</v>
      </c>
      <c r="BE53" s="15">
        <f>BE52</f>
        <v>0</v>
      </c>
      <c r="BF53" s="16"/>
      <c r="BG53" s="367" t="s">
        <v>120</v>
      </c>
      <c r="BH53" s="368"/>
      <c r="BI53" s="369"/>
      <c r="BJ53" s="52">
        <f>IF(BI62=0,0,BJ52*100/BI62)</f>
        <v>0</v>
      </c>
      <c r="BK53" s="43" t="s">
        <v>56</v>
      </c>
      <c r="BL53" s="22"/>
      <c r="BM53" s="23" t="s">
        <v>88</v>
      </c>
      <c r="BN53" s="1"/>
      <c r="BO53" s="24">
        <f>BO33-BO52</f>
        <v>0</v>
      </c>
      <c r="BQ53" s="380" t="s">
        <v>143</v>
      </c>
      <c r="BR53" s="381"/>
      <c r="BS53" s="381"/>
      <c r="BT53" s="381"/>
      <c r="BU53" s="382"/>
      <c r="BV53" s="355">
        <f>BW37+BW41+BW47</f>
        <v>150</v>
      </c>
      <c r="BW53" s="356"/>
      <c r="BX53" s="357"/>
      <c r="CC53" s="7" t="e">
        <f>IF(#REF!="","",IF(#REF!="PF",#REF!,0))</f>
        <v>#REF!</v>
      </c>
      <c r="CD53" s="7" t="e">
        <f>IF(#REF!="","",IF(#REF!="PF",IF((#REF!+4)&lt;YEAR(#REF!),0,#REF!),0))</f>
        <v>#REF!</v>
      </c>
      <c r="CE53" s="7" t="e">
        <f>IF(#REF!="","",IF(AND(CD53&gt;0,#REF!&lt;&gt;""),CC53,0))</f>
        <v>#REF!</v>
      </c>
      <c r="CF53" s="7" t="e">
        <f>IF(#REF!="","",IF(AND($CE53&gt;0,#REF!= "GRENACHE N"),#REF!,0))</f>
        <v>#REF!</v>
      </c>
      <c r="CG53" s="7" t="e">
        <f>IF(#REF!="","",IF(AND($CE53&gt;0,#REF!="SYRAH N"),#REF!,0))</f>
        <v>#REF!</v>
      </c>
      <c r="CH53" s="7" t="e">
        <f>IF(#REF!="","",IF(AND($CE53&gt;0,#REF!="CINSAUT N"),#REF!,0))</f>
        <v>#REF!</v>
      </c>
      <c r="CI53" s="7" t="e">
        <f>IF(#REF!="","",IF(AND($CE53&gt;0,#REF!="TIBOUREN N"),#REF!,0))</f>
        <v>#REF!</v>
      </c>
      <c r="CJ53" s="7" t="e">
        <f>IF(#REF!="","",IF(AND($CE53&gt;0,#REF!="MOURVEDRE N"),#REF!,0))</f>
        <v>#REF!</v>
      </c>
      <c r="CK53" s="7" t="e">
        <f>IF(#REF!="","",IF(AND($CE53&gt;0,#REF!="CARIGNAN N"),#REF!,0))</f>
        <v>#REF!</v>
      </c>
      <c r="CL53" s="7" t="e">
        <f>IF(#REF!="","",IF(AND($CE53&gt;0,#REF!="CABERNET SAUVIGNON N"),#REF!,0))</f>
        <v>#REF!</v>
      </c>
      <c r="CM53" s="7" t="e">
        <f>IF(#REF!="","",IF(AND($CE53&gt;0,#REF!="VERMENTINO B"),#REF!,0))</f>
        <v>#REF!</v>
      </c>
      <c r="CN53" s="7" t="e">
        <f>IF(#REF!="","",IF(AND($CE53&gt;0,#REF!="UGNI BLANC B"),#REF!,0))</f>
        <v>#REF!</v>
      </c>
      <c r="CO53" s="7" t="e">
        <f>IF(#REF!="","",IF(AND($CE53&gt;0,#REF!="CLAIRETTE B"),#REF!,0))</f>
        <v>#REF!</v>
      </c>
      <c r="CP53" s="7" t="e">
        <f>IF(#REF!="","",IF(AND($CE53&gt;0,#REF!="semillon B"),#REF!,0))</f>
        <v>#REF!</v>
      </c>
      <c r="CQ53" s="7" t="e">
        <f>IF(#REF!="","",IF(CE53=0,CC53,0))</f>
        <v>#REF!</v>
      </c>
      <c r="CR53" s="17"/>
      <c r="DG53" s="380" t="s">
        <v>155</v>
      </c>
      <c r="DH53" s="381"/>
      <c r="DI53" s="381"/>
      <c r="DJ53" s="381"/>
      <c r="DK53" s="382"/>
      <c r="DL53" s="355">
        <f>DM37+DM41+DM47</f>
        <v>0</v>
      </c>
      <c r="DM53" s="356"/>
      <c r="DN53" s="357"/>
      <c r="DP53" s="23" t="s">
        <v>81</v>
      </c>
      <c r="DR53" s="2">
        <f>DH38-(1/0.9)*(DH38)+(0.1/0.9)*(DM37+DH37+DH38+DH39+DH42+DH43+DH44+DH45+DH46)</f>
        <v>0</v>
      </c>
    </row>
    <row r="54" spans="1:122" ht="16.5" customHeight="1" x14ac:dyDescent="0.25"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23" t="s">
        <v>99</v>
      </c>
      <c r="AB54" s="2">
        <f>B10</f>
        <v>0</v>
      </c>
      <c r="AC54"/>
      <c r="AN54" s="23" t="s">
        <v>99</v>
      </c>
      <c r="AO54" s="2">
        <f>AF10</f>
        <v>0</v>
      </c>
      <c r="AY54" s="20"/>
      <c r="BD54" s="7"/>
      <c r="BE54" s="7"/>
      <c r="BF54" s="16"/>
      <c r="BH54" s="16"/>
      <c r="BJ54" s="10"/>
      <c r="BK54" s="10"/>
      <c r="BL54" s="20"/>
      <c r="BM54" s="23" t="s">
        <v>89</v>
      </c>
      <c r="BN54" s="1"/>
      <c r="BO54" s="2">
        <f>IF(BE37=0,0,IF(BE37&gt;BO53,BO53,BE37))</f>
        <v>0</v>
      </c>
      <c r="BQ54" s="349" t="s">
        <v>144</v>
      </c>
      <c r="BR54" s="350"/>
      <c r="BS54" s="350"/>
      <c r="BT54" s="350"/>
      <c r="BU54" s="351"/>
      <c r="BV54" s="358">
        <f>BW39+BW45+BW51</f>
        <v>0</v>
      </c>
      <c r="BW54" s="359"/>
      <c r="BX54" s="360"/>
      <c r="BY54" s="6"/>
      <c r="BZ54" t="s">
        <v>37</v>
      </c>
      <c r="CB54" s="2">
        <f>BW33+BW32</f>
        <v>100</v>
      </c>
      <c r="CC54" s="7" t="e">
        <f>IF(#REF!="","",IF(#REF!="PF",#REF!,0))</f>
        <v>#REF!</v>
      </c>
      <c r="CD54" s="7" t="e">
        <f>IF(#REF!="","",IF(#REF!="PF",IF((#REF!+4)&lt;YEAR(#REF!),0,#REF!),0))</f>
        <v>#REF!</v>
      </c>
      <c r="CE54" s="7" t="e">
        <f>IF(#REF!="","",IF(AND(CD54&gt;0,#REF!&lt;&gt;""),CC54,0))</f>
        <v>#REF!</v>
      </c>
      <c r="CF54" s="7" t="e">
        <f>IF(#REF!="","",IF(AND($CE54&gt;0,#REF!= "GRENACHE N"),#REF!,0))</f>
        <v>#REF!</v>
      </c>
      <c r="CG54" s="7" t="e">
        <f>IF(#REF!="","",IF(AND($CE54&gt;0,#REF!="SYRAH N"),#REF!,0))</f>
        <v>#REF!</v>
      </c>
      <c r="CH54" s="7" t="e">
        <f>IF(#REF!="","",IF(AND($CE54&gt;0,#REF!="CINSAUT N"),#REF!,0))</f>
        <v>#REF!</v>
      </c>
      <c r="CI54" s="7" t="e">
        <f>IF(#REF!="","",IF(AND($CE54&gt;0,#REF!="TIBOUREN N"),#REF!,0))</f>
        <v>#REF!</v>
      </c>
      <c r="CJ54" s="7" t="e">
        <f>IF(#REF!="","",IF(AND($CE54&gt;0,#REF!="MOURVEDRE N"),#REF!,0))</f>
        <v>#REF!</v>
      </c>
      <c r="CK54" s="7" t="e">
        <f>IF(#REF!="","",IF(AND($CE54&gt;0,#REF!="CARIGNAN N"),#REF!,0))</f>
        <v>#REF!</v>
      </c>
      <c r="CL54" s="7" t="e">
        <f>IF(#REF!="","",IF(AND($CE54&gt;0,#REF!="CABERNET SAUVIGNON N"),#REF!,0))</f>
        <v>#REF!</v>
      </c>
      <c r="CM54" s="7" t="e">
        <f>IF(#REF!="","",IF(AND($CE54&gt;0,#REF!="VERMENTINO B"),#REF!,0))</f>
        <v>#REF!</v>
      </c>
      <c r="CN54" s="7" t="e">
        <f>IF(#REF!="","",IF(AND($CE54&gt;0,#REF!="UGNI BLANC B"),#REF!,0))</f>
        <v>#REF!</v>
      </c>
      <c r="CO54" s="7" t="e">
        <f>IF(#REF!="","",IF(AND($CE54&gt;0,#REF!="CLAIRETTE B"),#REF!,0))</f>
        <v>#REF!</v>
      </c>
      <c r="CP54" s="7" t="e">
        <f>IF(#REF!="","",IF(AND($CE54&gt;0,#REF!="semillon B"),#REF!,0))</f>
        <v>#REF!</v>
      </c>
      <c r="CQ54" s="7" t="e">
        <f>IF(#REF!="","",IF(CE54=0,CC54,0))</f>
        <v>#REF!</v>
      </c>
      <c r="CR54" s="17"/>
      <c r="DG54" s="349" t="s">
        <v>156</v>
      </c>
      <c r="DH54" s="350"/>
      <c r="DI54" s="350"/>
      <c r="DJ54" s="350"/>
      <c r="DK54" s="351"/>
      <c r="DL54" s="358">
        <f>DM39+DM45+DM51</f>
        <v>0</v>
      </c>
      <c r="DM54" s="359"/>
      <c r="DN54" s="360"/>
      <c r="DO54" s="6"/>
      <c r="DP54" s="1" t="s">
        <v>111</v>
      </c>
      <c r="DR54" s="2">
        <f>IF(DR53=0,0,IF(DH38&gt;DR53,DR53,DH38))</f>
        <v>0</v>
      </c>
    </row>
    <row r="55" spans="1:122" ht="15.75" customHeight="1" x14ac:dyDescent="0.25"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23" t="s">
        <v>100</v>
      </c>
      <c r="AB55" s="2">
        <f>B32+B16+B19+B26</f>
        <v>0</v>
      </c>
      <c r="AC55"/>
      <c r="AN55" s="23" t="s">
        <v>100</v>
      </c>
      <c r="AO55" s="2">
        <f>AF31+AF16+AF19+AF25</f>
        <v>0</v>
      </c>
      <c r="AQ55" s="40"/>
      <c r="AR55" s="40"/>
      <c r="AS55" s="40"/>
      <c r="AT55" s="40"/>
      <c r="AU55" s="40"/>
      <c r="AV55" s="54"/>
      <c r="AW55" s="54"/>
      <c r="AX55" s="54"/>
      <c r="AY55" s="32"/>
      <c r="BD55" s="30" t="s">
        <v>123</v>
      </c>
      <c r="BE55" s="7"/>
      <c r="BF55" s="16"/>
      <c r="BG55" s="363" t="s">
        <v>117</v>
      </c>
      <c r="BH55" s="364"/>
      <c r="BI55" s="365"/>
      <c r="BJ55" s="50">
        <f>BO73</f>
        <v>0</v>
      </c>
      <c r="BK55" s="50"/>
      <c r="BL55" s="20"/>
      <c r="BM55" s="23" t="s">
        <v>92</v>
      </c>
      <c r="BO55" s="2">
        <f>BO54+BO52</f>
        <v>0</v>
      </c>
      <c r="BY55" s="10"/>
      <c r="BZ55" t="s">
        <v>43</v>
      </c>
      <c r="CA55" s="4"/>
      <c r="CB55" s="2">
        <f>BW34</f>
        <v>50</v>
      </c>
      <c r="CC55" s="7" t="e">
        <f>IF(#REF!="","",IF(#REF!="PF",#REF!,0))</f>
        <v>#REF!</v>
      </c>
      <c r="CD55" s="7" t="e">
        <f>IF(#REF!="","",IF(#REF!="PF",IF((#REF!+4)&lt;YEAR(#REF!),0,#REF!),0))</f>
        <v>#REF!</v>
      </c>
      <c r="CE55" s="7" t="e">
        <f>IF(#REF!="","",IF(AND(CD55&gt;0,#REF!&lt;&gt;""),CC55,0))</f>
        <v>#REF!</v>
      </c>
      <c r="CF55" s="7" t="e">
        <f>IF(#REF!="","",IF(AND($CE55&gt;0,#REF!= "GRENACHE N"),#REF!,0))</f>
        <v>#REF!</v>
      </c>
      <c r="CG55" s="7" t="e">
        <f>IF(#REF!="","",IF(AND($CE55&gt;0,#REF!="SYRAH N"),#REF!,0))</f>
        <v>#REF!</v>
      </c>
      <c r="CH55" s="7" t="e">
        <f>IF(#REF!="","",IF(AND($CE55&gt;0,#REF!="CINSAUT N"),#REF!,0))</f>
        <v>#REF!</v>
      </c>
      <c r="CI55" s="7" t="e">
        <f>IF(#REF!="","",IF(AND($CE55&gt;0,#REF!="TIBOUREN N"),#REF!,0))</f>
        <v>#REF!</v>
      </c>
      <c r="CJ55" s="7" t="e">
        <f>IF(#REF!="","",IF(AND($CE55&gt;0,#REF!="MOURVEDRE N"),#REF!,0))</f>
        <v>#REF!</v>
      </c>
      <c r="CK55" s="7" t="e">
        <f>IF(#REF!="","",IF(AND($CE55&gt;0,#REF!="CARIGNAN N"),#REF!,0))</f>
        <v>#REF!</v>
      </c>
      <c r="CL55" s="7" t="e">
        <f>IF(#REF!="","",IF(AND($CE55&gt;0,#REF!="CABERNET SAUVIGNON N"),#REF!,0))</f>
        <v>#REF!</v>
      </c>
      <c r="CM55" s="7" t="e">
        <f>IF(#REF!="","",IF(AND($CE55&gt;0,#REF!="VERMENTINO B"),#REF!,0))</f>
        <v>#REF!</v>
      </c>
      <c r="CN55" s="7" t="e">
        <f>IF(#REF!="","",IF(AND($CE55&gt;0,#REF!="UGNI BLANC B"),#REF!,0))</f>
        <v>#REF!</v>
      </c>
      <c r="CO55" s="7" t="e">
        <f>IF(#REF!="","",IF(AND($CE55&gt;0,#REF!="CLAIRETTE B"),#REF!,0))</f>
        <v>#REF!</v>
      </c>
      <c r="CP55" s="7" t="e">
        <f>IF(#REF!="","",IF(AND($CE55&gt;0,#REF!="semillon B"),#REF!,0))</f>
        <v>#REF!</v>
      </c>
      <c r="CQ55" s="7" t="e">
        <f>IF(#REF!="","",IF(CE55=0,CC55,0))</f>
        <v>#REF!</v>
      </c>
      <c r="CR55" s="17"/>
      <c r="DO55" s="10"/>
      <c r="DP55" s="1" t="s">
        <v>112</v>
      </c>
      <c r="DR55" s="2">
        <f>IF(DR54&gt;DR45,DR45,DR54)</f>
        <v>0</v>
      </c>
    </row>
    <row r="56" spans="1:122" ht="16.5" customHeight="1" x14ac:dyDescent="0.25"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23" t="s">
        <v>60</v>
      </c>
      <c r="AB56" s="2">
        <f>B10</f>
        <v>0</v>
      </c>
      <c r="AC56" s="1"/>
      <c r="AN56" s="23" t="s">
        <v>60</v>
      </c>
      <c r="AO56" s="2">
        <f>AF10</f>
        <v>0</v>
      </c>
      <c r="AY56" s="32"/>
      <c r="BD56" s="30" t="s">
        <v>127</v>
      </c>
      <c r="BE56" s="7"/>
      <c r="BF56" s="5"/>
      <c r="BG56" s="367" t="s">
        <v>118</v>
      </c>
      <c r="BH56" s="368"/>
      <c r="BI56" s="369"/>
      <c r="BJ56" s="52">
        <f>IF(BI62=0,0,BJ55*100/BI62)</f>
        <v>0</v>
      </c>
      <c r="BK56" s="43" t="s">
        <v>56</v>
      </c>
      <c r="BL56" s="20"/>
      <c r="BM56" s="23" t="s">
        <v>78</v>
      </c>
      <c r="BO56" s="2">
        <f>BJ30+BJ34+BO55</f>
        <v>0</v>
      </c>
      <c r="BY56" s="10"/>
      <c r="BZ56" t="s">
        <v>47</v>
      </c>
      <c r="CB56" s="12">
        <f>IF(CB55&gt;CB54,CB54,CB55)</f>
        <v>50</v>
      </c>
      <c r="CC56" s="7" t="e">
        <f>IF(#REF!="","",IF(#REF!="PF",#REF!,0))</f>
        <v>#REF!</v>
      </c>
      <c r="CD56" s="7" t="e">
        <f>IF(#REF!="","",IF(#REF!="PF",IF((#REF!+4)&lt;YEAR(#REF!),0,#REF!),0))</f>
        <v>#REF!</v>
      </c>
      <c r="CE56" s="7" t="e">
        <f>IF(#REF!="","",IF(AND(CD56&gt;0,#REF!&lt;&gt;""),CC56,0))</f>
        <v>#REF!</v>
      </c>
      <c r="CF56" s="7" t="e">
        <f>IF(#REF!="","",IF(AND($CE56&gt;0,#REF!= "GRENACHE N"),#REF!,0))</f>
        <v>#REF!</v>
      </c>
      <c r="CG56" s="7" t="e">
        <f>IF(#REF!="","",IF(AND($CE56&gt;0,#REF!="SYRAH N"),#REF!,0))</f>
        <v>#REF!</v>
      </c>
      <c r="CH56" s="7" t="e">
        <f>IF(#REF!="","",IF(AND($CE56&gt;0,#REF!="CINSAUT N"),#REF!,0))</f>
        <v>#REF!</v>
      </c>
      <c r="CI56" s="7" t="e">
        <f>IF(#REF!="","",IF(AND($CE56&gt;0,#REF!="TIBOUREN N"),#REF!,0))</f>
        <v>#REF!</v>
      </c>
      <c r="CJ56" s="7" t="e">
        <f>IF(#REF!="","",IF(AND($CE56&gt;0,#REF!="MOURVEDRE N"),#REF!,0))</f>
        <v>#REF!</v>
      </c>
      <c r="CK56" s="7" t="e">
        <f>IF(#REF!="","",IF(AND($CE56&gt;0,#REF!="CARIGNAN N"),#REF!,0))</f>
        <v>#REF!</v>
      </c>
      <c r="CL56" s="7" t="e">
        <f>IF(#REF!="","",IF(AND($CE56&gt;0,#REF!="CABERNET SAUVIGNON N"),#REF!,0))</f>
        <v>#REF!</v>
      </c>
      <c r="CM56" s="7" t="e">
        <f>IF(#REF!="","",IF(AND($CE56&gt;0,#REF!="VERMENTINO B"),#REF!,0))</f>
        <v>#REF!</v>
      </c>
      <c r="CN56" s="7" t="e">
        <f>IF(#REF!="","",IF(AND($CE56&gt;0,#REF!="UGNI BLANC B"),#REF!,0))</f>
        <v>#REF!</v>
      </c>
      <c r="CO56" s="7" t="e">
        <f>IF(#REF!="","",IF(AND($CE56&gt;0,#REF!="CLAIRETTE B"),#REF!,0))</f>
        <v>#REF!</v>
      </c>
      <c r="CP56" s="7" t="e">
        <f>IF(#REF!="","",IF(AND($CE56&gt;0,#REF!="semillon B"),#REF!,0))</f>
        <v>#REF!</v>
      </c>
      <c r="CQ56" s="7" t="e">
        <f>IF(#REF!="","",IF(CE56=0,CC56,0))</f>
        <v>#REF!</v>
      </c>
      <c r="CR56" s="17"/>
      <c r="DO56" s="10"/>
      <c r="DP56" s="1" t="s">
        <v>113</v>
      </c>
      <c r="DR56" s="2">
        <f>IF(DR48&gt;DR55,DR55,DR48)</f>
        <v>0</v>
      </c>
    </row>
    <row r="57" spans="1:122" ht="16.5" customHeight="1" x14ac:dyDescent="0.25"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23" t="s">
        <v>101</v>
      </c>
      <c r="AB57" s="2">
        <f>IF(AB55&gt;AB56,AB56,AB55)</f>
        <v>0</v>
      </c>
      <c r="AC57"/>
      <c r="AN57" s="23" t="s">
        <v>101</v>
      </c>
      <c r="AO57" s="2">
        <f>IF(AO55&gt;AO56,AO56,AO55)</f>
        <v>0</v>
      </c>
      <c r="AY57" s="32"/>
      <c r="BD57" s="30" t="s">
        <v>82</v>
      </c>
      <c r="BE57" s="7"/>
      <c r="BG57" s="374" t="s">
        <v>122</v>
      </c>
      <c r="BH57" s="375"/>
      <c r="BI57" s="376"/>
      <c r="BJ57" s="361">
        <f>IF(BE58&lt;BJ55,0,BE58-BJ55)</f>
        <v>0</v>
      </c>
      <c r="BK57" s="362"/>
      <c r="BL57" s="22"/>
      <c r="BM57" s="23"/>
      <c r="BY57" s="10"/>
      <c r="BZ57" s="1" t="s">
        <v>39</v>
      </c>
      <c r="CA57" s="5"/>
      <c r="CB57" s="2">
        <f>BW37*20/80</f>
        <v>37.5</v>
      </c>
      <c r="CC57" s="7" t="e">
        <f>IF(#REF!="","",IF(#REF!="PF",#REF!,0))</f>
        <v>#REF!</v>
      </c>
      <c r="CD57" s="7" t="e">
        <f>IF(#REF!="","",IF(#REF!="PF",IF((#REF!+4)&lt;YEAR(#REF!),0,#REF!),0))</f>
        <v>#REF!</v>
      </c>
      <c r="CE57" s="7" t="e">
        <f>IF(#REF!="","",IF(AND(CD57&gt;0,#REF!&lt;&gt;""),CC57,0))</f>
        <v>#REF!</v>
      </c>
      <c r="CF57" s="7" t="e">
        <f>IF(#REF!="","",IF(AND($CE57&gt;0,#REF!= "GRENACHE N"),#REF!,0))</f>
        <v>#REF!</v>
      </c>
      <c r="CG57" s="7" t="e">
        <f>IF(#REF!="","",IF(AND($CE57&gt;0,#REF!="SYRAH N"),#REF!,0))</f>
        <v>#REF!</v>
      </c>
      <c r="CH57" s="7" t="e">
        <f>IF(#REF!="","",IF(AND($CE57&gt;0,#REF!="CINSAUT N"),#REF!,0))</f>
        <v>#REF!</v>
      </c>
      <c r="CI57" s="7" t="e">
        <f>IF(#REF!="","",IF(AND($CE57&gt;0,#REF!="TIBOUREN N"),#REF!,0))</f>
        <v>#REF!</v>
      </c>
      <c r="CJ57" s="7" t="e">
        <f>IF(#REF!="","",IF(AND($CE57&gt;0,#REF!="MOURVEDRE N"),#REF!,0))</f>
        <v>#REF!</v>
      </c>
      <c r="CK57" s="7" t="e">
        <f>IF(#REF!="","",IF(AND($CE57&gt;0,#REF!="CARIGNAN N"),#REF!,0))</f>
        <v>#REF!</v>
      </c>
      <c r="CL57" s="7" t="e">
        <f>IF(#REF!="","",IF(AND($CE57&gt;0,#REF!="CABERNET SAUVIGNON N"),#REF!,0))</f>
        <v>#REF!</v>
      </c>
      <c r="CM57" s="7" t="e">
        <f>IF(#REF!="","",IF(AND($CE57&gt;0,#REF!="VERMENTINO B"),#REF!,0))</f>
        <v>#REF!</v>
      </c>
      <c r="CN57" s="7" t="e">
        <f>IF(#REF!="","",IF(AND($CE57&gt;0,#REF!="UGNI BLANC B"),#REF!,0))</f>
        <v>#REF!</v>
      </c>
      <c r="CO57" s="7" t="e">
        <f>IF(#REF!="","",IF(AND($CE57&gt;0,#REF!="CLAIRETTE B"),#REF!,0))</f>
        <v>#REF!</v>
      </c>
      <c r="CP57" s="7" t="e">
        <f>IF(#REF!="","",IF(AND($CE57&gt;0,#REF!="semillon B"),#REF!,0))</f>
        <v>#REF!</v>
      </c>
      <c r="CQ57" s="7" t="e">
        <f>IF(#REF!="","",IF(CE57=0,CC57,0))</f>
        <v>#REF!</v>
      </c>
      <c r="CR57" s="17"/>
      <c r="DO57" s="10"/>
    </row>
    <row r="58" spans="1:122" ht="16.5" customHeight="1" x14ac:dyDescent="0.25"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23" t="s">
        <v>102</v>
      </c>
      <c r="AB58" s="2">
        <f>IF(AB55&gt;AB56,AB55-AB56,0)</f>
        <v>0</v>
      </c>
      <c r="AC58"/>
      <c r="AN58" s="23" t="s">
        <v>102</v>
      </c>
      <c r="AO58" s="2">
        <f>IF(AO55&gt;AO56,AO55-AO56,0)</f>
        <v>0</v>
      </c>
      <c r="AY58" s="32"/>
      <c r="AZ58" s="1"/>
      <c r="BA58" s="5"/>
      <c r="BD58" s="25" t="s">
        <v>115</v>
      </c>
      <c r="BE58" s="15">
        <f>SUM(BE55:BE57)</f>
        <v>0</v>
      </c>
      <c r="BG58" s="48"/>
      <c r="BH58" s="48"/>
      <c r="BI58" s="48"/>
      <c r="BJ58" s="20"/>
      <c r="BK58" s="20"/>
      <c r="BL58" s="22"/>
      <c r="BM58" s="23" t="s">
        <v>95</v>
      </c>
      <c r="BO58" s="2">
        <f>0.1*BO56</f>
        <v>0</v>
      </c>
      <c r="BY58" s="10"/>
      <c r="BZ58" s="1" t="s">
        <v>40</v>
      </c>
      <c r="CA58" s="5"/>
      <c r="CB58" s="2">
        <f>BR37+BR39+CB64</f>
        <v>0</v>
      </c>
      <c r="CC58" s="7" t="e">
        <f>IF(#REF!="","",IF(#REF!="PF",#REF!,0))</f>
        <v>#REF!</v>
      </c>
      <c r="CD58" s="7" t="e">
        <f>IF(#REF!="","",IF(#REF!="PF",IF((#REF!+4)&lt;YEAR(#REF!),0,#REF!),0))</f>
        <v>#REF!</v>
      </c>
      <c r="CE58" s="7" t="e">
        <f>IF(#REF!="","",IF(AND(CD58&gt;0,#REF!&lt;&gt;""),CC58,0))</f>
        <v>#REF!</v>
      </c>
      <c r="CF58" s="7" t="e">
        <f>IF(#REF!="","",IF(AND($CE58&gt;0,#REF!= "GRENACHE N"),#REF!,0))</f>
        <v>#REF!</v>
      </c>
      <c r="CG58" s="7" t="e">
        <f>IF(#REF!="","",IF(AND($CE58&gt;0,#REF!="SYRAH N"),#REF!,0))</f>
        <v>#REF!</v>
      </c>
      <c r="CH58" s="7" t="e">
        <f>IF(#REF!="","",IF(AND($CE58&gt;0,#REF!="CINSAUT N"),#REF!,0))</f>
        <v>#REF!</v>
      </c>
      <c r="CI58" s="7" t="e">
        <f>IF(#REF!="","",IF(AND($CE58&gt;0,#REF!="TIBOUREN N"),#REF!,0))</f>
        <v>#REF!</v>
      </c>
      <c r="CJ58" s="7" t="e">
        <f>IF(#REF!="","",IF(AND($CE58&gt;0,#REF!="MOURVEDRE N"),#REF!,0))</f>
        <v>#REF!</v>
      </c>
      <c r="CK58" s="7" t="e">
        <f>IF(#REF!="","",IF(AND($CE58&gt;0,#REF!="CARIGNAN N"),#REF!,0))</f>
        <v>#REF!</v>
      </c>
      <c r="CL58" s="7" t="e">
        <f>IF(#REF!="","",IF(AND($CE58&gt;0,#REF!="CABERNET SAUVIGNON N"),#REF!,0))</f>
        <v>#REF!</v>
      </c>
      <c r="CM58" s="7" t="e">
        <f>IF(#REF!="","",IF(AND($CE58&gt;0,#REF!="VERMENTINO B"),#REF!,0))</f>
        <v>#REF!</v>
      </c>
      <c r="CN58" s="7" t="e">
        <f>IF(#REF!="","",IF(AND($CE58&gt;0,#REF!="UGNI BLANC B"),#REF!,0))</f>
        <v>#REF!</v>
      </c>
      <c r="CO58" s="7" t="e">
        <f>IF(#REF!="","",IF(AND($CE58&gt;0,#REF!="CLAIRETTE B"),#REF!,0))</f>
        <v>#REF!</v>
      </c>
      <c r="CP58" s="7" t="e">
        <f>IF(#REF!="","",IF(AND($CE58&gt;0,#REF!="semillon B"),#REF!,0))</f>
        <v>#REF!</v>
      </c>
      <c r="CQ58" s="7" t="e">
        <f>IF(#REF!="","",IF(CE58=0,CC58,0))</f>
        <v>#REF!</v>
      </c>
      <c r="CR58" s="17"/>
      <c r="DO58" s="10"/>
      <c r="DP58" s="1" t="s">
        <v>106</v>
      </c>
      <c r="DQ58" s="5"/>
      <c r="DR58" s="12">
        <f>DR56+DH37+DH39</f>
        <v>0</v>
      </c>
    </row>
    <row r="59" spans="1:122" ht="16.5" customHeight="1" x14ac:dyDescent="0.25"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23" t="s">
        <v>103</v>
      </c>
      <c r="AB59" s="2">
        <f>IF(B16&gt;AB57,B16-AB57,0)</f>
        <v>0</v>
      </c>
      <c r="AC59"/>
      <c r="AN59" s="23" t="s">
        <v>103</v>
      </c>
      <c r="AO59" s="2">
        <f>IF(AF16&gt;AO57,AF16-AO57,0)</f>
        <v>0</v>
      </c>
      <c r="AZ59" s="1"/>
      <c r="BA59" s="5"/>
      <c r="BL59" s="22"/>
      <c r="BM59" s="23" t="s">
        <v>84</v>
      </c>
      <c r="BO59" s="12">
        <f>IF(BO58=0,0,IF(BE38+BE39+BE40&gt;BO58,BO58,BE38+BE39+BE40))</f>
        <v>0</v>
      </c>
      <c r="BY59" s="19"/>
      <c r="BZ59" s="1" t="s">
        <v>44</v>
      </c>
      <c r="CA59" s="5"/>
      <c r="CB59" s="2">
        <f>IF((BW37*100/BV53)&gt;70,100-(BW37*100/BV53),30)</f>
        <v>0</v>
      </c>
      <c r="CC59" s="7" t="e">
        <f>IF(#REF!="","",IF(#REF!="PF",#REF!,0))</f>
        <v>#REF!</v>
      </c>
      <c r="CD59" s="7" t="e">
        <f>IF(#REF!="","",IF(#REF!="PF",IF((#REF!+4)&lt;YEAR(#REF!),0,#REF!),0))</f>
        <v>#REF!</v>
      </c>
      <c r="CE59" s="7" t="e">
        <f>IF(#REF!="","",IF(AND(CD59&gt;0,#REF!&lt;&gt;""),CC59,0))</f>
        <v>#REF!</v>
      </c>
      <c r="CF59" s="7" t="e">
        <f>IF(#REF!="","",IF(AND($CE59&gt;0,#REF!= "GRENACHE N"),#REF!,0))</f>
        <v>#REF!</v>
      </c>
      <c r="CG59" s="7" t="e">
        <f>IF(#REF!="","",IF(AND($CE59&gt;0,#REF!="SYRAH N"),#REF!,0))</f>
        <v>#REF!</v>
      </c>
      <c r="CH59" s="7" t="e">
        <f>IF(#REF!="","",IF(AND($CE59&gt;0,#REF!="CINSAUT N"),#REF!,0))</f>
        <v>#REF!</v>
      </c>
      <c r="CI59" s="7" t="e">
        <f>IF(#REF!="","",IF(AND($CE59&gt;0,#REF!="TIBOUREN N"),#REF!,0))</f>
        <v>#REF!</v>
      </c>
      <c r="CJ59" s="7" t="e">
        <f>IF(#REF!="","",IF(AND($CE59&gt;0,#REF!="MOURVEDRE N"),#REF!,0))</f>
        <v>#REF!</v>
      </c>
      <c r="CK59" s="7" t="e">
        <f>IF(#REF!="","",IF(AND($CE59&gt;0,#REF!="CARIGNAN N"),#REF!,0))</f>
        <v>#REF!</v>
      </c>
      <c r="CL59" s="7" t="e">
        <f>IF(#REF!="","",IF(AND($CE59&gt;0,#REF!="CABERNET SAUVIGNON N"),#REF!,0))</f>
        <v>#REF!</v>
      </c>
      <c r="CM59" s="7" t="e">
        <f>IF(#REF!="","",IF(AND($CE59&gt;0,#REF!="VERMENTINO B"),#REF!,0))</f>
        <v>#REF!</v>
      </c>
      <c r="CN59" s="7" t="e">
        <f>IF(#REF!="","",IF(AND($CE59&gt;0,#REF!="UGNI BLANC B"),#REF!,0))</f>
        <v>#REF!</v>
      </c>
      <c r="CO59" s="7" t="e">
        <f>IF(#REF!="","",IF(AND($CE59&gt;0,#REF!="CLAIRETTE B"),#REF!,0))</f>
        <v>#REF!</v>
      </c>
      <c r="CP59" s="7" t="e">
        <f>IF(#REF!="","",IF(AND($CE59&gt;0,#REF!="semillon B"),#REF!,0))</f>
        <v>#REF!</v>
      </c>
      <c r="CQ59" s="7" t="e">
        <f>IF(#REF!="","",IF(CE59=0,CC59,0))</f>
        <v>#REF!</v>
      </c>
      <c r="CR59" s="17"/>
      <c r="DO59" s="19"/>
    </row>
    <row r="60" spans="1:122" ht="15.75" customHeight="1" x14ac:dyDescent="0.25"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23" t="s">
        <v>104</v>
      </c>
      <c r="AB60" s="2">
        <f>IF(B16&gt;AB57,AB57,B16)</f>
        <v>0</v>
      </c>
      <c r="AC60"/>
      <c r="AN60" s="23" t="s">
        <v>104</v>
      </c>
      <c r="AO60" s="2">
        <f>IF(AF16&gt;AO57,AO57,AF16)</f>
        <v>0</v>
      </c>
      <c r="AZ60" s="1"/>
      <c r="BA60" s="5"/>
      <c r="BD60" s="26" t="s">
        <v>73</v>
      </c>
      <c r="BE60" s="27">
        <f>BE85+BE58+BE53</f>
        <v>0</v>
      </c>
      <c r="BL60" s="20"/>
      <c r="BM60" s="23"/>
      <c r="BY60" s="20"/>
      <c r="BZ60" s="1" t="s">
        <v>106</v>
      </c>
      <c r="CA60" s="5"/>
      <c r="CB60" s="12">
        <f>IF(BR37+BR39=0,BR38,IF((BR38+BR37+BR39)&gt;CB57,CB57,(BR38+BR37+BR39)))</f>
        <v>0</v>
      </c>
      <c r="CC60" s="7" t="e">
        <f>IF(#REF!="","",IF(#REF!="PF",#REF!,0))</f>
        <v>#REF!</v>
      </c>
      <c r="CD60" s="7" t="e">
        <f>IF(#REF!="","",IF(#REF!="PF",IF((#REF!+4)&lt;YEAR(#REF!),0,#REF!),0))</f>
        <v>#REF!</v>
      </c>
      <c r="CE60" s="7" t="e">
        <f>IF(#REF!="","",IF(AND(CD60&gt;0,#REF!&lt;&gt;""),CC60,0))</f>
        <v>#REF!</v>
      </c>
      <c r="CF60" s="7" t="e">
        <f>IF(#REF!="","",IF(AND($CE60&gt;0,#REF!= "GRENACHE N"),#REF!,0))</f>
        <v>#REF!</v>
      </c>
      <c r="CG60" s="7" t="e">
        <f>IF(#REF!="","",IF(AND($CE60&gt;0,#REF!="SYRAH N"),#REF!,0))</f>
        <v>#REF!</v>
      </c>
      <c r="CH60" s="7" t="e">
        <f>IF(#REF!="","",IF(AND($CE60&gt;0,#REF!="CINSAUT N"),#REF!,0))</f>
        <v>#REF!</v>
      </c>
      <c r="CI60" s="7" t="e">
        <f>IF(#REF!="","",IF(AND($CE60&gt;0,#REF!="TIBOUREN N"),#REF!,0))</f>
        <v>#REF!</v>
      </c>
      <c r="CJ60" s="7" t="e">
        <f>IF(#REF!="","",IF(AND($CE60&gt;0,#REF!="MOURVEDRE N"),#REF!,0))</f>
        <v>#REF!</v>
      </c>
      <c r="CK60" s="7" t="e">
        <f>IF(#REF!="","",IF(AND($CE60&gt;0,#REF!="CARIGNAN N"),#REF!,0))</f>
        <v>#REF!</v>
      </c>
      <c r="CL60" s="7" t="e">
        <f>IF(#REF!="","",IF(AND($CE60&gt;0,#REF!="CABERNET SAUVIGNON N"),#REF!,0))</f>
        <v>#REF!</v>
      </c>
      <c r="CM60" s="7" t="e">
        <f>IF(#REF!="","",IF(AND($CE60&gt;0,#REF!="VERMENTINO B"),#REF!,0))</f>
        <v>#REF!</v>
      </c>
      <c r="CN60" s="7" t="e">
        <f>IF(#REF!="","",IF(AND($CE60&gt;0,#REF!="UGNI BLANC B"),#REF!,0))</f>
        <v>#REF!</v>
      </c>
      <c r="CO60" s="7" t="e">
        <f>IF(#REF!="","",IF(AND($CE60&gt;0,#REF!="CLAIRETTE B"),#REF!,0))</f>
        <v>#REF!</v>
      </c>
      <c r="CP60" s="7" t="e">
        <f>IF(#REF!="","",IF(AND($CE60&gt;0,#REF!="semillon B"),#REF!,0))</f>
        <v>#REF!</v>
      </c>
      <c r="CQ60" s="7" t="e">
        <f>IF(#REF!="","",IF(CE60=0,CC60,0))</f>
        <v>#REF!</v>
      </c>
      <c r="CR60" s="17"/>
      <c r="DO60" s="20"/>
      <c r="DP60" s="1" t="s">
        <v>59</v>
      </c>
      <c r="DQ60" s="5"/>
      <c r="DR60" s="2">
        <f>IF(DR45=DR42,0,IF(DR45&lt;DR42,DR42-DR45,""))</f>
        <v>0</v>
      </c>
    </row>
    <row r="61" spans="1:122" ht="15" customHeight="1" x14ac:dyDescent="0.25"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23" t="s">
        <v>105</v>
      </c>
      <c r="AB61" s="2">
        <f>IF(AB60=AB57,0,AB57-AB60)</f>
        <v>0</v>
      </c>
      <c r="AC61"/>
      <c r="AN61" s="23" t="s">
        <v>105</v>
      </c>
      <c r="AO61" s="2">
        <f>IF(AO60=AO57,0,AO57-AO60)</f>
        <v>0</v>
      </c>
      <c r="AZ61" s="1"/>
      <c r="BA61" s="5"/>
      <c r="BF61" s="18"/>
      <c r="BL61" s="20"/>
      <c r="BM61" s="23" t="s">
        <v>88</v>
      </c>
      <c r="BO61" s="2">
        <f>BO33-BO59</f>
        <v>0</v>
      </c>
      <c r="BY61" s="22"/>
      <c r="BZ61" s="23" t="s">
        <v>66</v>
      </c>
      <c r="CB61" s="2">
        <f>BR38*100/(BW37+BR37+BR38+BR39+BR46)</f>
        <v>0</v>
      </c>
      <c r="CC61" s="7" t="e">
        <f>IF(#REF!="","",IF(#REF!="PF",#REF!,0))</f>
        <v>#REF!</v>
      </c>
      <c r="CD61" s="7" t="e">
        <f>IF(#REF!="","",IF(#REF!="PF",IF((#REF!+4)&lt;YEAR(#REF!),0,#REF!),0))</f>
        <v>#REF!</v>
      </c>
      <c r="CE61" s="7" t="e">
        <f>IF(#REF!="","",IF(AND(CD61&gt;0,#REF!&lt;&gt;""),CC61,0))</f>
        <v>#REF!</v>
      </c>
      <c r="CF61" s="7" t="e">
        <f>IF(#REF!="","",IF(AND($CE61&gt;0,#REF!= "GRENACHE N"),#REF!,0))</f>
        <v>#REF!</v>
      </c>
      <c r="CG61" s="7" t="e">
        <f>IF(#REF!="","",IF(AND($CE61&gt;0,#REF!="SYRAH N"),#REF!,0))</f>
        <v>#REF!</v>
      </c>
      <c r="CH61" s="7" t="e">
        <f>IF(#REF!="","",IF(AND($CE61&gt;0,#REF!="CINSAUT N"),#REF!,0))</f>
        <v>#REF!</v>
      </c>
      <c r="CI61" s="7" t="e">
        <f>IF(#REF!="","",IF(AND($CE61&gt;0,#REF!="TIBOUREN N"),#REF!,0))</f>
        <v>#REF!</v>
      </c>
      <c r="CJ61" s="7" t="e">
        <f>IF(#REF!="","",IF(AND($CE61&gt;0,#REF!="MOURVEDRE N"),#REF!,0))</f>
        <v>#REF!</v>
      </c>
      <c r="CK61" s="7" t="e">
        <f>IF(#REF!="","",IF(AND($CE61&gt;0,#REF!="CARIGNAN N"),#REF!,0))</f>
        <v>#REF!</v>
      </c>
      <c r="CL61" s="7" t="e">
        <f>IF(#REF!="","",IF(AND($CE61&gt;0,#REF!="CABERNET SAUVIGNON N"),#REF!,0))</f>
        <v>#REF!</v>
      </c>
      <c r="CM61" s="7" t="e">
        <f>IF(#REF!="","",IF(AND($CE61&gt;0,#REF!="VERMENTINO B"),#REF!,0))</f>
        <v>#REF!</v>
      </c>
      <c r="CN61" s="7" t="e">
        <f>IF(#REF!="","",IF(AND($CE61&gt;0,#REF!="UGNI BLANC B"),#REF!,0))</f>
        <v>#REF!</v>
      </c>
      <c r="CO61" s="7" t="e">
        <f>IF(#REF!="","",IF(AND($CE61&gt;0,#REF!="CLAIRETTE B"),#REF!,0))</f>
        <v>#REF!</v>
      </c>
      <c r="CP61" s="7" t="e">
        <f>IF(#REF!="","",IF(AND($CE61&gt;0,#REF!="semillon B"),#REF!,0))</f>
        <v>#REF!</v>
      </c>
      <c r="CQ61" s="7" t="e">
        <f>IF(#REF!="","",IF(CE61=0,CC61,0))</f>
        <v>#REF!</v>
      </c>
      <c r="CR61" s="17"/>
      <c r="DO61" s="22"/>
      <c r="DP61" s="1" t="s">
        <v>63</v>
      </c>
      <c r="DQ61" s="5"/>
      <c r="DR61" s="2">
        <f>IF(DR60&lt;DH44+DH43+DH45+DH42,DR60,DH44+DH43+DH45+DH42)</f>
        <v>0</v>
      </c>
    </row>
    <row r="62" spans="1:122" ht="15.75" customHeight="1" x14ac:dyDescent="0.25"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23" t="s">
        <v>107</v>
      </c>
      <c r="AB62" s="2">
        <f>IF(AB61&gt;0,B32-AB61,B32)</f>
        <v>0</v>
      </c>
      <c r="AC62"/>
      <c r="AN62" s="23" t="s">
        <v>107</v>
      </c>
      <c r="AO62" s="2">
        <f>IF(AO61&gt;0,AF31-AO61,AF31)</f>
        <v>0</v>
      </c>
      <c r="AZ62" s="1"/>
      <c r="BA62" s="5"/>
      <c r="BD62" s="380" t="s">
        <v>141</v>
      </c>
      <c r="BE62" s="381"/>
      <c r="BF62" s="381"/>
      <c r="BG62" s="381"/>
      <c r="BH62" s="382"/>
      <c r="BI62" s="355">
        <f>BJ52+BJ55</f>
        <v>0</v>
      </c>
      <c r="BJ62" s="356"/>
      <c r="BK62" s="357"/>
      <c r="BL62" s="20"/>
      <c r="BM62" s="23" t="s">
        <v>89</v>
      </c>
      <c r="BO62" s="2">
        <f>IF(BE37=0,0,IF(BE37&gt;BO61,BO61,BE37))</f>
        <v>0</v>
      </c>
      <c r="BY62" s="20"/>
      <c r="BZ62" t="s">
        <v>108</v>
      </c>
      <c r="CB62" s="2">
        <f>0.1*(BW37+BR37+BR38+BR39+BR46)</f>
        <v>15</v>
      </c>
      <c r="CC62" s="7" t="e">
        <f>IF(#REF!="","",IF(#REF!="PF",#REF!,0))</f>
        <v>#REF!</v>
      </c>
      <c r="CD62" s="7" t="e">
        <f>IF(#REF!="","",IF(#REF!="PF",IF((#REF!+4)&lt;YEAR(#REF!),0,#REF!),0))</f>
        <v>#REF!</v>
      </c>
      <c r="CE62" s="7" t="e">
        <f>IF(#REF!="","",IF(AND(CD62&gt;0,#REF!&lt;&gt;""),CC62,0))</f>
        <v>#REF!</v>
      </c>
      <c r="CF62" s="7" t="e">
        <f>IF(#REF!="","",IF(AND($CE62&gt;0,#REF!= "GRENACHE N"),#REF!,0))</f>
        <v>#REF!</v>
      </c>
      <c r="CG62" s="7" t="e">
        <f>IF(#REF!="","",IF(AND($CE62&gt;0,#REF!="SYRAH N"),#REF!,0))</f>
        <v>#REF!</v>
      </c>
      <c r="CH62" s="7" t="e">
        <f>IF(#REF!="","",IF(AND($CE62&gt;0,#REF!="CINSAUT N"),#REF!,0))</f>
        <v>#REF!</v>
      </c>
      <c r="CI62" s="7" t="e">
        <f>IF(#REF!="","",IF(AND($CE62&gt;0,#REF!="TIBOUREN N"),#REF!,0))</f>
        <v>#REF!</v>
      </c>
      <c r="CJ62" s="7" t="e">
        <f>IF(#REF!="","",IF(AND($CE62&gt;0,#REF!="MOURVEDRE N"),#REF!,0))</f>
        <v>#REF!</v>
      </c>
      <c r="CK62" s="7" t="e">
        <f>IF(#REF!="","",IF(AND($CE62&gt;0,#REF!="CARIGNAN N"),#REF!,0))</f>
        <v>#REF!</v>
      </c>
      <c r="CL62" s="7" t="e">
        <f>IF(#REF!="","",IF(AND($CE62&gt;0,#REF!="CABERNET SAUVIGNON N"),#REF!,0))</f>
        <v>#REF!</v>
      </c>
      <c r="CM62" s="7" t="e">
        <f>IF(#REF!="","",IF(AND($CE62&gt;0,#REF!="VERMENTINO B"),#REF!,0))</f>
        <v>#REF!</v>
      </c>
      <c r="CN62" s="7" t="e">
        <f>IF(#REF!="","",IF(AND($CE62&gt;0,#REF!="UGNI BLANC B"),#REF!,0))</f>
        <v>#REF!</v>
      </c>
      <c r="CO62" s="7" t="e">
        <f>IF(#REF!="","",IF(AND($CE62&gt;0,#REF!="CLAIRETTE B"),#REF!,0))</f>
        <v>#REF!</v>
      </c>
      <c r="CP62" s="7" t="e">
        <f>IF(#REF!="","",IF(AND($CE62&gt;0,#REF!="semillon B"),#REF!,0))</f>
        <v>#REF!</v>
      </c>
      <c r="CQ62" s="7" t="e">
        <f>IF(#REF!="","",IF(CE62=0,CC62,0))</f>
        <v>#REF!</v>
      </c>
      <c r="CR62" s="17"/>
      <c r="DO62" s="20"/>
      <c r="DP62" s="23" t="s">
        <v>68</v>
      </c>
      <c r="DQ62" s="5"/>
      <c r="DR62" s="24">
        <f>IF(DR61=0,0,DR61*100/DR66)</f>
        <v>0</v>
      </c>
    </row>
    <row r="63" spans="1:122" ht="16.5" customHeight="1" x14ac:dyDescent="0.25"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C63"/>
      <c r="AZ63" s="1"/>
      <c r="BA63" s="5"/>
      <c r="BD63" s="349" t="s">
        <v>142</v>
      </c>
      <c r="BE63" s="350"/>
      <c r="BF63" s="350"/>
      <c r="BG63" s="350"/>
      <c r="BH63" s="351"/>
      <c r="BI63" s="358">
        <f>BJ57</f>
        <v>0</v>
      </c>
      <c r="BJ63" s="359"/>
      <c r="BK63" s="360"/>
      <c r="BL63" s="22"/>
      <c r="BM63" s="23" t="s">
        <v>92</v>
      </c>
      <c r="BO63" s="12">
        <f>BO62+BO59</f>
        <v>0</v>
      </c>
      <c r="BY63" s="20"/>
      <c r="BZ63" t="s">
        <v>72</v>
      </c>
      <c r="CB63" s="2">
        <f>BR38</f>
        <v>0</v>
      </c>
      <c r="CC63" s="7" t="e">
        <f>IF(#REF!="","",IF(#REF!="PF",#REF!,0))</f>
        <v>#REF!</v>
      </c>
      <c r="CD63" s="7" t="e">
        <f>IF(#REF!="","",IF(#REF!="PF",IF((#REF!+4)&lt;YEAR(#REF!),0,#REF!),0))</f>
        <v>#REF!</v>
      </c>
      <c r="CE63" s="7" t="e">
        <f>IF(#REF!="","",IF(AND(CD63&gt;0,#REF!&lt;&gt;""),CC63,0))</f>
        <v>#REF!</v>
      </c>
      <c r="CF63" s="7" t="e">
        <f>IF(#REF!="","",IF(AND($CE63&gt;0,#REF!= "GRENACHE N"),#REF!,0))</f>
        <v>#REF!</v>
      </c>
      <c r="CG63" s="7" t="e">
        <f>IF(#REF!="","",IF(AND($CE63&gt;0,#REF!="SYRAH N"),#REF!,0))</f>
        <v>#REF!</v>
      </c>
      <c r="CH63" s="7" t="e">
        <f>IF(#REF!="","",IF(AND($CE63&gt;0,#REF!="CINSAUT N"),#REF!,0))</f>
        <v>#REF!</v>
      </c>
      <c r="CI63" s="7" t="e">
        <f>IF(#REF!="","",IF(AND($CE63&gt;0,#REF!="TIBOUREN N"),#REF!,0))</f>
        <v>#REF!</v>
      </c>
      <c r="CJ63" s="7" t="e">
        <f>IF(#REF!="","",IF(AND($CE63&gt;0,#REF!="MOURVEDRE N"),#REF!,0))</f>
        <v>#REF!</v>
      </c>
      <c r="CK63" s="7" t="e">
        <f>IF(#REF!="","",IF(AND($CE63&gt;0,#REF!="CARIGNAN N"),#REF!,0))</f>
        <v>#REF!</v>
      </c>
      <c r="CL63" s="7" t="e">
        <f>IF(#REF!="","",IF(AND($CE63&gt;0,#REF!="CABERNET SAUVIGNON N"),#REF!,0))</f>
        <v>#REF!</v>
      </c>
      <c r="CM63" s="7" t="e">
        <f>IF(#REF!="","",IF(AND($CE63&gt;0,#REF!="VERMENTINO B"),#REF!,0))</f>
        <v>#REF!</v>
      </c>
      <c r="CN63" s="7" t="e">
        <f>IF(#REF!="","",IF(AND($CE63&gt;0,#REF!="UGNI BLANC B"),#REF!,0))</f>
        <v>#REF!</v>
      </c>
      <c r="CO63" s="7" t="e">
        <f>IF(#REF!="","",IF(AND($CE63&gt;0,#REF!="CLAIRETTE B"),#REF!,0))</f>
        <v>#REF!</v>
      </c>
      <c r="CP63" s="7" t="e">
        <f>IF(#REF!="","",IF(AND($CE63&gt;0,#REF!="semillon B"),#REF!,0))</f>
        <v>#REF!</v>
      </c>
      <c r="CQ63" s="7" t="e">
        <f>IF(#REF!="","",IF(CE63=0,CC63,0))</f>
        <v>#REF!</v>
      </c>
      <c r="CR63" s="17"/>
      <c r="DO63" s="20"/>
      <c r="DP63" s="23" t="s">
        <v>71</v>
      </c>
      <c r="DQ63" s="5"/>
      <c r="DR63" s="12">
        <f>IF(DR61=0,0,IF(DR62&gt;20,0.25*DR66-0.25*DR61,DR61))</f>
        <v>0</v>
      </c>
    </row>
    <row r="64" spans="1:122" ht="15" customHeight="1" x14ac:dyDescent="0.25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1"/>
      <c r="AC64"/>
      <c r="BL64" s="20"/>
      <c r="BY64" s="20"/>
      <c r="BZ64" t="s">
        <v>76</v>
      </c>
      <c r="CB64" s="2">
        <f>IF(CB63&gt;CB62,CB62,CB63)</f>
        <v>0</v>
      </c>
      <c r="CC64" s="7" t="e">
        <f>IF(#REF!="","",IF(#REF!="PF",#REF!,0))</f>
        <v>#REF!</v>
      </c>
      <c r="CD64" s="7" t="e">
        <f>IF(#REF!="","",IF(#REF!="PF",IF((#REF!+4)&lt;YEAR(#REF!),0,#REF!),0))</f>
        <v>#REF!</v>
      </c>
      <c r="CE64" s="7" t="e">
        <f>IF(#REF!="","",IF(AND(CD64&gt;0,#REF!&lt;&gt;""),CC64,0))</f>
        <v>#REF!</v>
      </c>
      <c r="CF64" s="7" t="e">
        <f>IF(#REF!="","",IF(AND($CE64&gt;0,#REF!= "GRENACHE N"),#REF!,0))</f>
        <v>#REF!</v>
      </c>
      <c r="CG64" s="7" t="e">
        <f>IF(#REF!="","",IF(AND($CE64&gt;0,#REF!="SYRAH N"),#REF!,0))</f>
        <v>#REF!</v>
      </c>
      <c r="CH64" s="7" t="e">
        <f>IF(#REF!="","",IF(AND($CE64&gt;0,#REF!="CINSAUT N"),#REF!,0))</f>
        <v>#REF!</v>
      </c>
      <c r="CI64" s="7" t="e">
        <f>IF(#REF!="","",IF(AND($CE64&gt;0,#REF!="TIBOUREN N"),#REF!,0))</f>
        <v>#REF!</v>
      </c>
      <c r="CJ64" s="7" t="e">
        <f>IF(#REF!="","",IF(AND($CE64&gt;0,#REF!="MOURVEDRE N"),#REF!,0))</f>
        <v>#REF!</v>
      </c>
      <c r="CK64" s="7" t="e">
        <f>IF(#REF!="","",IF(AND($CE64&gt;0,#REF!="CARIGNAN N"),#REF!,0))</f>
        <v>#REF!</v>
      </c>
      <c r="CL64" s="7" t="e">
        <f>IF(#REF!="","",IF(AND($CE64&gt;0,#REF!="CABERNET SAUVIGNON N"),#REF!,0))</f>
        <v>#REF!</v>
      </c>
      <c r="CM64" s="7" t="e">
        <f>IF(#REF!="","",IF(AND($CE64&gt;0,#REF!="VERMENTINO B"),#REF!,0))</f>
        <v>#REF!</v>
      </c>
      <c r="CN64" s="7" t="e">
        <f>IF(#REF!="","",IF(AND($CE64&gt;0,#REF!="UGNI BLANC B"),#REF!,0))</f>
        <v>#REF!</v>
      </c>
      <c r="CO64" s="7" t="e">
        <f>IF(#REF!="","",IF(AND($CE64&gt;0,#REF!="CLAIRETTE B"),#REF!,0))</f>
        <v>#REF!</v>
      </c>
      <c r="CP64" s="7" t="e">
        <f>IF(#REF!="","",IF(AND($CE64&gt;0,#REF!="semillon B"),#REF!,0))</f>
        <v>#REF!</v>
      </c>
      <c r="CQ64" s="7" t="e">
        <f>IF(#REF!="","",IF(CE64=0,CC64,0))</f>
        <v>#REF!</v>
      </c>
      <c r="CR64" s="17"/>
      <c r="DO64" s="20"/>
      <c r="DP64" s="23"/>
      <c r="DQ64" s="5"/>
    </row>
    <row r="65" spans="9:122" ht="15.75" x14ac:dyDescent="0.25"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1"/>
      <c r="AC65"/>
      <c r="AZ65" s="1"/>
      <c r="BA65" s="5"/>
      <c r="BL65" s="22"/>
      <c r="BY65" s="22"/>
      <c r="BZ65" s="1"/>
      <c r="CA65" s="5"/>
      <c r="CC65" s="7" t="e">
        <f>IF(#REF!="","",IF(#REF!="PF",#REF!,0))</f>
        <v>#REF!</v>
      </c>
      <c r="CD65" s="7" t="e">
        <f>IF(#REF!="","",IF(#REF!="PF",IF((#REF!+4)&lt;YEAR(#REF!),0,#REF!),0))</f>
        <v>#REF!</v>
      </c>
      <c r="CE65" s="7" t="e">
        <f>IF(#REF!="","",IF(AND(CD65&gt;0,#REF!&lt;&gt;""),CC65,0))</f>
        <v>#REF!</v>
      </c>
      <c r="CF65" s="7" t="e">
        <f>IF(#REF!="","",IF(AND($CE65&gt;0,#REF!= "GRENACHE N"),#REF!,0))</f>
        <v>#REF!</v>
      </c>
      <c r="CG65" s="7" t="e">
        <f>IF(#REF!="","",IF(AND($CE65&gt;0,#REF!="SYRAH N"),#REF!,0))</f>
        <v>#REF!</v>
      </c>
      <c r="CH65" s="7" t="e">
        <f>IF(#REF!="","",IF(AND($CE65&gt;0,#REF!="CINSAUT N"),#REF!,0))</f>
        <v>#REF!</v>
      </c>
      <c r="CI65" s="7" t="e">
        <f>IF(#REF!="","",IF(AND($CE65&gt;0,#REF!="TIBOUREN N"),#REF!,0))</f>
        <v>#REF!</v>
      </c>
      <c r="CJ65" s="7" t="e">
        <f>IF(#REF!="","",IF(AND($CE65&gt;0,#REF!="MOURVEDRE N"),#REF!,0))</f>
        <v>#REF!</v>
      </c>
      <c r="CK65" s="7" t="e">
        <f>IF(#REF!="","",IF(AND($CE65&gt;0,#REF!="CARIGNAN N"),#REF!,0))</f>
        <v>#REF!</v>
      </c>
      <c r="CL65" s="7" t="e">
        <f>IF(#REF!="","",IF(AND($CE65&gt;0,#REF!="CABERNET SAUVIGNON N"),#REF!,0))</f>
        <v>#REF!</v>
      </c>
      <c r="CM65" s="7" t="e">
        <f>IF(#REF!="","",IF(AND($CE65&gt;0,#REF!="VERMENTINO B"),#REF!,0))</f>
        <v>#REF!</v>
      </c>
      <c r="CN65" s="7" t="e">
        <f>IF(#REF!="","",IF(AND($CE65&gt;0,#REF!="UGNI BLANC B"),#REF!,0))</f>
        <v>#REF!</v>
      </c>
      <c r="CO65" s="7" t="e">
        <f>IF(#REF!="","",IF(AND($CE65&gt;0,#REF!="CLAIRETTE B"),#REF!,0))</f>
        <v>#REF!</v>
      </c>
      <c r="CP65" s="7" t="e">
        <f>IF(#REF!="","",IF(AND($CE65&gt;0,#REF!="semillon B"),#REF!,0))</f>
        <v>#REF!</v>
      </c>
      <c r="CQ65" s="7" t="e">
        <f>IF(#REF!="","",IF(CE65=0,CC65,0))</f>
        <v>#REF!</v>
      </c>
      <c r="CR65" s="17"/>
      <c r="DO65" s="22"/>
      <c r="DP65" s="23"/>
      <c r="DQ65" s="5"/>
    </row>
    <row r="66" spans="9:122" ht="15.75" x14ac:dyDescent="0.25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C66"/>
      <c r="BL66" s="20"/>
      <c r="BY66" s="22"/>
      <c r="BZ66" s="1" t="s">
        <v>109</v>
      </c>
      <c r="CB66" s="2">
        <f>CB62+BR37+BR39</f>
        <v>15</v>
      </c>
      <c r="CC66" s="7" t="e">
        <f>IF(#REF!="","",IF(#REF!="PF",#REF!,0))</f>
        <v>#REF!</v>
      </c>
      <c r="CD66" s="7" t="e">
        <f>IF(#REF!="","",IF(#REF!="PF",IF((#REF!+4)&lt;YEAR(#REF!),0,#REF!),0))</f>
        <v>#REF!</v>
      </c>
      <c r="CE66" s="7" t="e">
        <f>IF(#REF!="","",IF(AND(CD66&gt;0,#REF!&lt;&gt;""),CC66,0))</f>
        <v>#REF!</v>
      </c>
      <c r="CF66" s="7" t="e">
        <f>IF(#REF!="","",IF(AND($CE66&gt;0,#REF!= "GRENACHE N"),#REF!,0))</f>
        <v>#REF!</v>
      </c>
      <c r="CG66" s="7" t="e">
        <f>IF(#REF!="","",IF(AND($CE66&gt;0,#REF!="SYRAH N"),#REF!,0))</f>
        <v>#REF!</v>
      </c>
      <c r="CH66" s="7" t="e">
        <f>IF(#REF!="","",IF(AND($CE66&gt;0,#REF!="CINSAUT N"),#REF!,0))</f>
        <v>#REF!</v>
      </c>
      <c r="CI66" s="7" t="e">
        <f>IF(#REF!="","",IF(AND($CE66&gt;0,#REF!="TIBOUREN N"),#REF!,0))</f>
        <v>#REF!</v>
      </c>
      <c r="CJ66" s="7" t="e">
        <f>IF(#REF!="","",IF(AND($CE66&gt;0,#REF!="MOURVEDRE N"),#REF!,0))</f>
        <v>#REF!</v>
      </c>
      <c r="CK66" s="7" t="e">
        <f>IF(#REF!="","",IF(AND($CE66&gt;0,#REF!="CARIGNAN N"),#REF!,0))</f>
        <v>#REF!</v>
      </c>
      <c r="CL66" s="7" t="e">
        <f>IF(#REF!="","",IF(AND($CE66&gt;0,#REF!="CABERNET SAUVIGNON N"),#REF!,0))</f>
        <v>#REF!</v>
      </c>
      <c r="CM66" s="7" t="e">
        <f>IF(#REF!="","",IF(AND($CE66&gt;0,#REF!="VERMENTINO B"),#REF!,0))</f>
        <v>#REF!</v>
      </c>
      <c r="CN66" s="7" t="e">
        <f>IF(#REF!="","",IF(AND($CE66&gt;0,#REF!="UGNI BLANC B"),#REF!,0))</f>
        <v>#REF!</v>
      </c>
      <c r="CO66" s="7" t="e">
        <f>IF(#REF!="","",IF(AND($CE66&gt;0,#REF!="CLAIRETTE B"),#REF!,0))</f>
        <v>#REF!</v>
      </c>
      <c r="CP66" s="7" t="e">
        <f>IF(#REF!="","",IF(AND($CE66&gt;0,#REF!="semillon B"),#REF!,0))</f>
        <v>#REF!</v>
      </c>
      <c r="CQ66" s="7" t="e">
        <f>IF(#REF!="","",IF(CE66=0,CC66,0))</f>
        <v>#REF!</v>
      </c>
      <c r="CR66" s="17"/>
      <c r="DO66" s="22"/>
      <c r="DP66" s="23" t="s">
        <v>75</v>
      </c>
      <c r="DQ66" s="5"/>
      <c r="DR66" s="2">
        <f>DM37+DM41+DR61</f>
        <v>0</v>
      </c>
    </row>
    <row r="67" spans="9:122" ht="15.75" x14ac:dyDescent="0.25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1"/>
      <c r="AC67"/>
      <c r="BL67" s="32"/>
      <c r="BY67" s="22"/>
      <c r="BZ67" s="1" t="s">
        <v>110</v>
      </c>
      <c r="CB67" s="2">
        <f>CB64+BR37+BR39</f>
        <v>0</v>
      </c>
      <c r="CC67" s="7" t="e">
        <f>IF(#REF!="","",IF(#REF!="PF",#REF!,0))</f>
        <v>#REF!</v>
      </c>
      <c r="CD67" s="7" t="e">
        <f>IF(#REF!="","",IF(#REF!="PF",IF((#REF!+4)&lt;YEAR(#REF!),0,#REF!),0))</f>
        <v>#REF!</v>
      </c>
      <c r="CE67" s="7" t="e">
        <f>IF(#REF!="","",IF(AND(CD67&gt;0,#REF!&lt;&gt;""),CC67,0))</f>
        <v>#REF!</v>
      </c>
      <c r="CF67" s="7" t="e">
        <f>IF(#REF!="","",IF(AND($CE67&gt;0,#REF!= "GRENACHE N"),#REF!,0))</f>
        <v>#REF!</v>
      </c>
      <c r="CG67" s="7" t="e">
        <f>IF(#REF!="","",IF(AND($CE67&gt;0,#REF!="SYRAH N"),#REF!,0))</f>
        <v>#REF!</v>
      </c>
      <c r="CH67" s="7" t="e">
        <f>IF(#REF!="","",IF(AND($CE67&gt;0,#REF!="CINSAUT N"),#REF!,0))</f>
        <v>#REF!</v>
      </c>
      <c r="CI67" s="7" t="e">
        <f>IF(#REF!="","",IF(AND($CE67&gt;0,#REF!="TIBOUREN N"),#REF!,0))</f>
        <v>#REF!</v>
      </c>
      <c r="CJ67" s="7" t="e">
        <f>IF(#REF!="","",IF(AND($CE67&gt;0,#REF!="MOURVEDRE N"),#REF!,0))</f>
        <v>#REF!</v>
      </c>
      <c r="CK67" s="7" t="e">
        <f>IF(#REF!="","",IF(AND($CE67&gt;0,#REF!="CARIGNAN N"),#REF!,0))</f>
        <v>#REF!</v>
      </c>
      <c r="CL67" s="7" t="e">
        <f>IF(#REF!="","",IF(AND($CE67&gt;0,#REF!="CABERNET SAUVIGNON N"),#REF!,0))</f>
        <v>#REF!</v>
      </c>
      <c r="CM67" s="7" t="e">
        <f>IF(#REF!="","",IF(AND($CE67&gt;0,#REF!="VERMENTINO B"),#REF!,0))</f>
        <v>#REF!</v>
      </c>
      <c r="CN67" s="7" t="e">
        <f>IF(#REF!="","",IF(AND($CE67&gt;0,#REF!="UGNI BLANC B"),#REF!,0))</f>
        <v>#REF!</v>
      </c>
      <c r="CO67" s="7" t="e">
        <f>IF(#REF!="","",IF(AND($CE67&gt;0,#REF!="CLAIRETTE B"),#REF!,0))</f>
        <v>#REF!</v>
      </c>
      <c r="CP67" s="7" t="e">
        <f>IF(#REF!="","",IF(AND($CE67&gt;0,#REF!="semillon B"),#REF!,0))</f>
        <v>#REF!</v>
      </c>
      <c r="CQ67" s="7" t="e">
        <f>IF(#REF!="","",IF(CE67=0,CC67,0))</f>
        <v>#REF!</v>
      </c>
      <c r="CR67" s="17"/>
      <c r="DO67" s="22"/>
      <c r="DP67" s="23" t="s">
        <v>78</v>
      </c>
      <c r="DQ67" s="1"/>
      <c r="DR67" s="2">
        <f>DM37+DM41+DR63</f>
        <v>0</v>
      </c>
    </row>
    <row r="68" spans="9:122" ht="16.5" customHeight="1" x14ac:dyDescent="0.25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1"/>
      <c r="AC68"/>
      <c r="BL68" s="32"/>
      <c r="BY68" s="20"/>
      <c r="BZ68" s="23" t="s">
        <v>81</v>
      </c>
      <c r="CB68" s="2">
        <f>BR38-(1/0.9)*(BR38)+(0.1/0.9)*(BW37+BR37+BR38+BR39+BR42+BR43+BR44+BR45+BR46)</f>
        <v>16.666666666666668</v>
      </c>
      <c r="CC68" s="7" t="e">
        <f>IF(#REF!="","",IF(#REF!="PF",#REF!,0))</f>
        <v>#REF!</v>
      </c>
      <c r="CD68" s="7" t="e">
        <f>IF(#REF!="","",IF(#REF!="PF",IF((#REF!+4)&lt;YEAR(#REF!),0,#REF!),0))</f>
        <v>#REF!</v>
      </c>
      <c r="CE68" s="7" t="e">
        <f>IF(#REF!="","",IF(AND(CD68&gt;0,#REF!&lt;&gt;""),CC68,0))</f>
        <v>#REF!</v>
      </c>
      <c r="CF68" s="7" t="e">
        <f>IF(#REF!="","",IF(AND($CE68&gt;0,#REF!= "GRENACHE N"),#REF!,0))</f>
        <v>#REF!</v>
      </c>
      <c r="CG68" s="7" t="e">
        <f>IF(#REF!="","",IF(AND($CE68&gt;0,#REF!="SYRAH N"),#REF!,0))</f>
        <v>#REF!</v>
      </c>
      <c r="CH68" s="7" t="e">
        <f>IF(#REF!="","",IF(AND($CE68&gt;0,#REF!="CINSAUT N"),#REF!,0))</f>
        <v>#REF!</v>
      </c>
      <c r="CI68" s="7" t="e">
        <f>IF(#REF!="","",IF(AND($CE68&gt;0,#REF!="TIBOUREN N"),#REF!,0))</f>
        <v>#REF!</v>
      </c>
      <c r="CJ68" s="7" t="e">
        <f>IF(#REF!="","",IF(AND($CE68&gt;0,#REF!="MOURVEDRE N"),#REF!,0))</f>
        <v>#REF!</v>
      </c>
      <c r="CK68" s="7" t="e">
        <f>IF(#REF!="","",IF(AND($CE68&gt;0,#REF!="CARIGNAN N"),#REF!,0))</f>
        <v>#REF!</v>
      </c>
      <c r="CL68" s="7" t="e">
        <f>IF(#REF!="","",IF(AND($CE68&gt;0,#REF!="CABERNET SAUVIGNON N"),#REF!,0))</f>
        <v>#REF!</v>
      </c>
      <c r="CM68" s="7" t="e">
        <f>IF(#REF!="","",IF(AND($CE68&gt;0,#REF!="VERMENTINO B"),#REF!,0))</f>
        <v>#REF!</v>
      </c>
      <c r="CN68" s="7" t="e">
        <f>IF(#REF!="","",IF(AND($CE68&gt;0,#REF!="UGNI BLANC B"),#REF!,0))</f>
        <v>#REF!</v>
      </c>
      <c r="CO68" s="7" t="e">
        <f>IF(#REF!="","",IF(AND($CE68&gt;0,#REF!="CLAIRETTE B"),#REF!,0))</f>
        <v>#REF!</v>
      </c>
      <c r="CP68" s="7" t="e">
        <f>IF(#REF!="","",IF(AND($CE68&gt;0,#REF!="semillon B"),#REF!,0))</f>
        <v>#REF!</v>
      </c>
      <c r="CQ68" s="7" t="e">
        <f>IF(#REF!="","",IF(CE68=0,CC68,0))</f>
        <v>#REF!</v>
      </c>
      <c r="CR68" s="17"/>
      <c r="DO68" s="20"/>
      <c r="DP68" s="1"/>
      <c r="DQ68" s="1"/>
    </row>
    <row r="69" spans="9:122" ht="16.5" customHeight="1" x14ac:dyDescent="0.25">
      <c r="AA69" s="1"/>
      <c r="AC69"/>
      <c r="BL69" s="32"/>
      <c r="BY69" s="20"/>
      <c r="BZ69" s="1" t="s">
        <v>111</v>
      </c>
      <c r="CB69" s="2">
        <f>IF(CB68=0,0,IF(BR38&gt;CB68,CB68,BR38))</f>
        <v>0</v>
      </c>
      <c r="CC69" s="7" t="e">
        <f>IF(#REF!="","",IF(#REF!="PF",#REF!,0))</f>
        <v>#REF!</v>
      </c>
      <c r="CD69" s="7" t="e">
        <f>IF(#REF!="","",IF(#REF!="PF",IF((#REF!+4)&lt;YEAR(#REF!),0,#REF!),0))</f>
        <v>#REF!</v>
      </c>
      <c r="CE69" s="7" t="e">
        <f>IF(#REF!="","",IF(AND(CD69&gt;0,#REF!&lt;&gt;""),CC69,0))</f>
        <v>#REF!</v>
      </c>
      <c r="CF69" s="7" t="e">
        <f>IF(#REF!="","",IF(AND($CE69&gt;0,#REF!= "GRENACHE N"),#REF!,0))</f>
        <v>#REF!</v>
      </c>
      <c r="CG69" s="7" t="e">
        <f>IF(#REF!="","",IF(AND($CE69&gt;0,#REF!="SYRAH N"),#REF!,0))</f>
        <v>#REF!</v>
      </c>
      <c r="CH69" s="7" t="e">
        <f>IF(#REF!="","",IF(AND($CE69&gt;0,#REF!="CINSAUT N"),#REF!,0))</f>
        <v>#REF!</v>
      </c>
      <c r="CI69" s="7" t="e">
        <f>IF(#REF!="","",IF(AND($CE69&gt;0,#REF!="TIBOUREN N"),#REF!,0))</f>
        <v>#REF!</v>
      </c>
      <c r="CJ69" s="7" t="e">
        <f>IF(#REF!="","",IF(AND($CE69&gt;0,#REF!="MOURVEDRE N"),#REF!,0))</f>
        <v>#REF!</v>
      </c>
      <c r="CK69" s="7" t="e">
        <f>IF(#REF!="","",IF(AND($CE69&gt;0,#REF!="CARIGNAN N"),#REF!,0))</f>
        <v>#REF!</v>
      </c>
      <c r="CL69" s="7" t="e">
        <f>IF(#REF!="","",IF(AND($CE69&gt;0,#REF!="CABERNET SAUVIGNON N"),#REF!,0))</f>
        <v>#REF!</v>
      </c>
      <c r="CM69" s="7" t="e">
        <f>IF(#REF!="","",IF(AND($CE69&gt;0,#REF!="VERMENTINO B"),#REF!,0))</f>
        <v>#REF!</v>
      </c>
      <c r="CN69" s="7" t="e">
        <f>IF(#REF!="","",IF(AND($CE69&gt;0,#REF!="UGNI BLANC B"),#REF!,0))</f>
        <v>#REF!</v>
      </c>
      <c r="CO69" s="7" t="e">
        <f>IF(#REF!="","",IF(AND($CE69&gt;0,#REF!="CLAIRETTE B"),#REF!,0))</f>
        <v>#REF!</v>
      </c>
      <c r="CP69" s="7" t="e">
        <f>IF(#REF!="","",IF(AND($CE69&gt;0,#REF!="semillon B"),#REF!,0))</f>
        <v>#REF!</v>
      </c>
      <c r="CQ69" s="7" t="e">
        <f>IF(#REF!="","",IF(CE69=0,CC69,0))</f>
        <v>#REF!</v>
      </c>
      <c r="CR69" s="17"/>
      <c r="DO69" s="20"/>
      <c r="DP69" s="23" t="s">
        <v>81</v>
      </c>
      <c r="DQ69" s="1"/>
      <c r="DR69" s="2">
        <f>(DH43+DH44+DH45)-(1/0.9)*(DH43+DH44+DH45)+(0.1/0.9)*(DM37+DM41+DH43+DH44+DH45+DH42)</f>
        <v>0</v>
      </c>
    </row>
    <row r="70" spans="9:122" ht="15.75" customHeight="1" x14ac:dyDescent="0.25">
      <c r="AA70" s="1"/>
      <c r="AC70"/>
      <c r="BL70" s="32"/>
      <c r="BM70" s="1" t="s">
        <v>116</v>
      </c>
      <c r="BN70" s="5"/>
      <c r="BO70" s="2">
        <f>BJ52</f>
        <v>0</v>
      </c>
      <c r="BY70" s="20"/>
      <c r="BZ70" s="1" t="s">
        <v>112</v>
      </c>
      <c r="CB70" s="2">
        <f>IF(CB69&gt;CB60,CB60,CB69)</f>
        <v>0</v>
      </c>
      <c r="CC70" s="7" t="e">
        <f>IF(#REF!="","",IF(#REF!="PF",#REF!,0))</f>
        <v>#REF!</v>
      </c>
      <c r="CD70" s="7" t="e">
        <f>IF(#REF!="","",IF(#REF!="PF",IF((#REF!+4)&lt;YEAR(#REF!),0,#REF!),0))</f>
        <v>#REF!</v>
      </c>
      <c r="CE70" s="7" t="e">
        <f>IF(#REF!="","",IF(AND(CD70&gt;0,#REF!&lt;&gt;""),CC70,0))</f>
        <v>#REF!</v>
      </c>
      <c r="CF70" s="7" t="e">
        <f>IF(#REF!="","",IF(AND($CE70&gt;0,#REF!= "GRENACHE N"),#REF!,0))</f>
        <v>#REF!</v>
      </c>
      <c r="CG70" s="7" t="e">
        <f>IF(#REF!="","",IF(AND($CE70&gt;0,#REF!="SYRAH N"),#REF!,0))</f>
        <v>#REF!</v>
      </c>
      <c r="CH70" s="7" t="e">
        <f>IF(#REF!="","",IF(AND($CE70&gt;0,#REF!="CINSAUT N"),#REF!,0))</f>
        <v>#REF!</v>
      </c>
      <c r="CI70" s="7" t="e">
        <f>IF(#REF!="","",IF(AND($CE70&gt;0,#REF!="TIBOUREN N"),#REF!,0))</f>
        <v>#REF!</v>
      </c>
      <c r="CJ70" s="7" t="e">
        <f>IF(#REF!="","",IF(AND($CE70&gt;0,#REF!="MOURVEDRE N"),#REF!,0))</f>
        <v>#REF!</v>
      </c>
      <c r="CK70" s="7" t="e">
        <f>IF(#REF!="","",IF(AND($CE70&gt;0,#REF!="CARIGNAN N"),#REF!,0))</f>
        <v>#REF!</v>
      </c>
      <c r="CL70" s="7" t="e">
        <f>IF(#REF!="","",IF(AND($CE70&gt;0,#REF!="CABERNET SAUVIGNON N"),#REF!,0))</f>
        <v>#REF!</v>
      </c>
      <c r="CM70" s="7" t="e">
        <f>IF(#REF!="","",IF(AND($CE70&gt;0,#REF!="VERMENTINO B"),#REF!,0))</f>
        <v>#REF!</v>
      </c>
      <c r="CN70" s="7" t="e">
        <f>IF(#REF!="","",IF(AND($CE70&gt;0,#REF!="UGNI BLANC B"),#REF!,0))</f>
        <v>#REF!</v>
      </c>
      <c r="CO70" s="7" t="e">
        <f>IF(#REF!="","",IF(AND($CE70&gt;0,#REF!="CLAIRETTE B"),#REF!,0))</f>
        <v>#REF!</v>
      </c>
      <c r="CP70" s="7" t="e">
        <f>IF(#REF!="","",IF(AND($CE70&gt;0,#REF!="semillon B"),#REF!,0))</f>
        <v>#REF!</v>
      </c>
      <c r="CQ70" s="7" t="e">
        <f>IF(#REF!="","",IF(CE70=0,CC70,0))</f>
        <v>#REF!</v>
      </c>
      <c r="CR70" s="17"/>
      <c r="DO70" s="20"/>
      <c r="DP70" s="23" t="s">
        <v>84</v>
      </c>
      <c r="DQ70" s="1"/>
      <c r="DR70" s="2">
        <f>IF(DR69=0,0,IF(DH43+DH44+DH45&gt;DR69,DR69,DH43+DH44+DH45))</f>
        <v>0</v>
      </c>
    </row>
    <row r="71" spans="9:122" ht="16.5" customHeight="1" x14ac:dyDescent="0.25">
      <c r="AA71" s="1"/>
      <c r="AC71"/>
      <c r="BM71" s="1" t="s">
        <v>119</v>
      </c>
      <c r="BN71" s="5"/>
      <c r="BO71" s="2">
        <f>BE58</f>
        <v>0</v>
      </c>
      <c r="BY71" s="22"/>
      <c r="BZ71" s="1" t="s">
        <v>113</v>
      </c>
      <c r="CB71" s="2">
        <f>IF(CB63&gt;CB70,CB70,CB63)</f>
        <v>0</v>
      </c>
      <c r="CC71" s="7" t="e">
        <f>IF(#REF!="","",IF(#REF!="PF",#REF!,0))</f>
        <v>#REF!</v>
      </c>
      <c r="CD71" s="7" t="e">
        <f>IF(#REF!="","",IF(#REF!="PF",IF((#REF!+4)&lt;YEAR(#REF!),0,#REF!),0))</f>
        <v>#REF!</v>
      </c>
      <c r="CE71" s="7" t="e">
        <f>IF(#REF!="","",IF(AND(CD71&gt;0,#REF!&lt;&gt;""),CC71,0))</f>
        <v>#REF!</v>
      </c>
      <c r="CF71" s="7" t="e">
        <f>IF(#REF!="","",IF(AND($CE71&gt;0,#REF!= "GRENACHE N"),#REF!,0))</f>
        <v>#REF!</v>
      </c>
      <c r="CG71" s="7" t="e">
        <f>IF(#REF!="","",IF(AND($CE71&gt;0,#REF!="SYRAH N"),#REF!,0))</f>
        <v>#REF!</v>
      </c>
      <c r="CH71" s="7" t="e">
        <f>IF(#REF!="","",IF(AND($CE71&gt;0,#REF!="CINSAUT N"),#REF!,0))</f>
        <v>#REF!</v>
      </c>
      <c r="CI71" s="7" t="e">
        <f>IF(#REF!="","",IF(AND($CE71&gt;0,#REF!="TIBOUREN N"),#REF!,0))</f>
        <v>#REF!</v>
      </c>
      <c r="CJ71" s="7" t="e">
        <f>IF(#REF!="","",IF(AND($CE71&gt;0,#REF!="MOURVEDRE N"),#REF!,0))</f>
        <v>#REF!</v>
      </c>
      <c r="CK71" s="7" t="e">
        <f>IF(#REF!="","",IF(AND($CE71&gt;0,#REF!="CARIGNAN N"),#REF!,0))</f>
        <v>#REF!</v>
      </c>
      <c r="CL71" s="7" t="e">
        <f>IF(#REF!="","",IF(AND($CE71&gt;0,#REF!="CABERNET SAUVIGNON N"),#REF!,0))</f>
        <v>#REF!</v>
      </c>
      <c r="CM71" s="7" t="e">
        <f>IF(#REF!="","",IF(AND($CE71&gt;0,#REF!="VERMENTINO B"),#REF!,0))</f>
        <v>#REF!</v>
      </c>
      <c r="CN71" s="7" t="e">
        <f>IF(#REF!="","",IF(AND($CE71&gt;0,#REF!="UGNI BLANC B"),#REF!,0))</f>
        <v>#REF!</v>
      </c>
      <c r="CO71" s="7" t="e">
        <f>IF(#REF!="","",IF(AND($CE71&gt;0,#REF!="CLAIRETTE B"),#REF!,0))</f>
        <v>#REF!</v>
      </c>
      <c r="CP71" s="7" t="e">
        <f>IF(#REF!="","",IF(AND($CE71&gt;0,#REF!="semillon B"),#REF!,0))</f>
        <v>#REF!</v>
      </c>
      <c r="CQ71" s="7" t="e">
        <f>IF(#REF!="","",IF(CE71=0,CC71,0))</f>
        <v>#REF!</v>
      </c>
      <c r="CR71" s="17"/>
      <c r="DB71" s="32"/>
      <c r="DO71" s="22"/>
      <c r="DP71" s="23" t="s">
        <v>86</v>
      </c>
      <c r="DQ71" s="1"/>
      <c r="DR71" s="2">
        <f>IF(DR70&gt;DR63,DR63,DR70)</f>
        <v>0</v>
      </c>
    </row>
    <row r="72" spans="9:122" ht="15" customHeight="1" x14ac:dyDescent="0.25">
      <c r="AC72"/>
      <c r="BM72" s="1" t="s">
        <v>44</v>
      </c>
      <c r="BN72" s="5"/>
      <c r="BO72" s="2" t="e">
        <f>IF((BJ52*100/BI62)&gt;50,100-(BJ52*100/BI62),50)</f>
        <v>#DIV/0!</v>
      </c>
      <c r="BY72" s="20"/>
      <c r="CC72" s="7" t="e">
        <f>IF(#REF!="","",IF(#REF!="PF",#REF!,0))</f>
        <v>#REF!</v>
      </c>
      <c r="CD72" s="7" t="e">
        <f>IF(#REF!="","",IF(#REF!="PF",IF((#REF!+4)&lt;YEAR(#REF!),0,#REF!),0))</f>
        <v>#REF!</v>
      </c>
      <c r="CE72" s="7" t="e">
        <f>IF(#REF!="","",IF(AND(CD72&gt;0,#REF!&lt;&gt;""),CC72,0))</f>
        <v>#REF!</v>
      </c>
      <c r="CF72" s="7" t="e">
        <f>IF(#REF!="","",IF(AND($CE72&gt;0,#REF!= "GRENACHE N"),#REF!,0))</f>
        <v>#REF!</v>
      </c>
      <c r="CG72" s="7" t="e">
        <f>IF(#REF!="","",IF(AND($CE72&gt;0,#REF!="SYRAH N"),#REF!,0))</f>
        <v>#REF!</v>
      </c>
      <c r="CH72" s="7" t="e">
        <f>IF(#REF!="","",IF(AND($CE72&gt;0,#REF!="CINSAUT N"),#REF!,0))</f>
        <v>#REF!</v>
      </c>
      <c r="CI72" s="7" t="e">
        <f>IF(#REF!="","",IF(AND($CE72&gt;0,#REF!="TIBOUREN N"),#REF!,0))</f>
        <v>#REF!</v>
      </c>
      <c r="CJ72" s="7" t="e">
        <f>IF(#REF!="","",IF(AND($CE72&gt;0,#REF!="MOURVEDRE N"),#REF!,0))</f>
        <v>#REF!</v>
      </c>
      <c r="CK72" s="7" t="e">
        <f>IF(#REF!="","",IF(AND($CE72&gt;0,#REF!="CARIGNAN N"),#REF!,0))</f>
        <v>#REF!</v>
      </c>
      <c r="CL72" s="7" t="e">
        <f>IF(#REF!="","",IF(AND($CE72&gt;0,#REF!="CABERNET SAUVIGNON N"),#REF!,0))</f>
        <v>#REF!</v>
      </c>
      <c r="CM72" s="7" t="e">
        <f>IF(#REF!="","",IF(AND($CE72&gt;0,#REF!="VERMENTINO B"),#REF!,0))</f>
        <v>#REF!</v>
      </c>
      <c r="CN72" s="7" t="e">
        <f>IF(#REF!="","",IF(AND($CE72&gt;0,#REF!="UGNI BLANC B"),#REF!,0))</f>
        <v>#REF!</v>
      </c>
      <c r="CO72" s="7" t="e">
        <f>IF(#REF!="","",IF(AND($CE72&gt;0,#REF!="CLAIRETTE B"),#REF!,0))</f>
        <v>#REF!</v>
      </c>
      <c r="CP72" s="7" t="e">
        <f>IF(#REF!="","",IF(AND($CE72&gt;0,#REF!="semillon B"),#REF!,0))</f>
        <v>#REF!</v>
      </c>
      <c r="CQ72" s="7" t="e">
        <f>IF(#REF!="","",IF(CE72=0,CC72,0))</f>
        <v>#REF!</v>
      </c>
      <c r="CR72" s="17"/>
      <c r="DO72" s="20"/>
      <c r="DP72" s="23" t="s">
        <v>88</v>
      </c>
      <c r="DQ72" s="1"/>
      <c r="DR72" s="24">
        <f>DR63-DR71</f>
        <v>0</v>
      </c>
    </row>
    <row r="73" spans="9:122" x14ac:dyDescent="0.25">
      <c r="AA73" s="1"/>
      <c r="AC73"/>
      <c r="BM73" s="1" t="s">
        <v>121</v>
      </c>
      <c r="BN73" s="5"/>
      <c r="BO73" s="12">
        <f>IF(BO71&gt;BO70,BO70,BO71)</f>
        <v>0</v>
      </c>
      <c r="BY73" s="22"/>
      <c r="BZ73" s="1" t="s">
        <v>106</v>
      </c>
      <c r="CA73" s="5"/>
      <c r="CB73" s="12">
        <f>CB71+BR37+BR39</f>
        <v>0</v>
      </c>
      <c r="CC73" s="7" t="e">
        <f>IF(#REF!="","",IF(#REF!="PF",#REF!,0))</f>
        <v>#REF!</v>
      </c>
      <c r="CD73" s="7" t="e">
        <f>IF(#REF!="","",IF(#REF!="PF",IF((#REF!+4)&lt;YEAR(#REF!),0,#REF!),0))</f>
        <v>#REF!</v>
      </c>
      <c r="CE73" s="7" t="e">
        <f>IF(#REF!="","",IF(AND(CD73&gt;0,#REF!&lt;&gt;""),CC73,0))</f>
        <v>#REF!</v>
      </c>
      <c r="CF73" s="7" t="e">
        <f>IF(#REF!="","",IF(AND($CE73&gt;0,#REF!= "GRENACHE N"),#REF!,0))</f>
        <v>#REF!</v>
      </c>
      <c r="CG73" s="7" t="e">
        <f>IF(#REF!="","",IF(AND($CE73&gt;0,#REF!="SYRAH N"),#REF!,0))</f>
        <v>#REF!</v>
      </c>
      <c r="CH73" s="7" t="e">
        <f>IF(#REF!="","",IF(AND($CE73&gt;0,#REF!="CINSAUT N"),#REF!,0))</f>
        <v>#REF!</v>
      </c>
      <c r="CI73" s="7" t="e">
        <f>IF(#REF!="","",IF(AND($CE73&gt;0,#REF!="TIBOUREN N"),#REF!,0))</f>
        <v>#REF!</v>
      </c>
      <c r="CJ73" s="7" t="e">
        <f>IF(#REF!="","",IF(AND($CE73&gt;0,#REF!="MOURVEDRE N"),#REF!,0))</f>
        <v>#REF!</v>
      </c>
      <c r="CK73" s="7" t="e">
        <f>IF(#REF!="","",IF(AND($CE73&gt;0,#REF!="CARIGNAN N"),#REF!,0))</f>
        <v>#REF!</v>
      </c>
      <c r="CL73" s="7" t="e">
        <f>IF(#REF!="","",IF(AND($CE73&gt;0,#REF!="CABERNET SAUVIGNON N"),#REF!,0))</f>
        <v>#REF!</v>
      </c>
      <c r="CM73" s="7" t="e">
        <f>IF(#REF!="","",IF(AND($CE73&gt;0,#REF!="VERMENTINO B"),#REF!,0))</f>
        <v>#REF!</v>
      </c>
      <c r="CN73" s="7" t="e">
        <f>IF(#REF!="","",IF(AND($CE73&gt;0,#REF!="UGNI BLANC B"),#REF!,0))</f>
        <v>#REF!</v>
      </c>
      <c r="CO73" s="7" t="e">
        <f>IF(#REF!="","",IF(AND($CE73&gt;0,#REF!="CLAIRETTE B"),#REF!,0))</f>
        <v>#REF!</v>
      </c>
      <c r="CP73" s="7" t="e">
        <f>IF(#REF!="","",IF(AND($CE73&gt;0,#REF!="semillon B"),#REF!,0))</f>
        <v>#REF!</v>
      </c>
      <c r="CQ73" s="7" t="e">
        <f>IF(#REF!="","",IF(CE73=0,CC73,0))</f>
        <v>#REF!</v>
      </c>
      <c r="CR73" s="17"/>
      <c r="DO73" s="22"/>
      <c r="DP73" s="23" t="s">
        <v>89</v>
      </c>
      <c r="DQ73" s="1"/>
      <c r="DR73" s="2">
        <f>IF(DH42=0,0,IF(DH42&gt;DR72,DR72,DH42))</f>
        <v>0</v>
      </c>
    </row>
    <row r="74" spans="9:122" ht="17.25" customHeight="1" x14ac:dyDescent="0.25">
      <c r="AA74" s="1"/>
      <c r="AC74"/>
      <c r="BM74" s="23"/>
      <c r="BN74" s="5"/>
      <c r="BY74" s="20"/>
      <c r="CC74" s="7" t="e">
        <f>IF(#REF!="","",IF(#REF!="PF",#REF!,0))</f>
        <v>#REF!</v>
      </c>
      <c r="CD74" s="7" t="e">
        <f>IF(#REF!="","",IF(#REF!="PF",IF((#REF!+4)&lt;YEAR(#REF!),0,#REF!),0))</f>
        <v>#REF!</v>
      </c>
      <c r="CE74" s="7" t="e">
        <f>IF(#REF!="","",IF(AND(CD74&gt;0,#REF!&lt;&gt;""),CC74,0))</f>
        <v>#REF!</v>
      </c>
      <c r="CF74" s="7" t="e">
        <f>IF(#REF!="","",IF(AND($CE74&gt;0,#REF!= "GRENACHE N"),#REF!,0))</f>
        <v>#REF!</v>
      </c>
      <c r="CG74" s="7" t="e">
        <f>IF(#REF!="","",IF(AND($CE74&gt;0,#REF!="SYRAH N"),#REF!,0))</f>
        <v>#REF!</v>
      </c>
      <c r="CH74" s="7" t="e">
        <f>IF(#REF!="","",IF(AND($CE74&gt;0,#REF!="CINSAUT N"),#REF!,0))</f>
        <v>#REF!</v>
      </c>
      <c r="CI74" s="7" t="e">
        <f>IF(#REF!="","",IF(AND($CE74&gt;0,#REF!="TIBOUREN N"),#REF!,0))</f>
        <v>#REF!</v>
      </c>
      <c r="CJ74" s="7" t="e">
        <f>IF(#REF!="","",IF(AND($CE74&gt;0,#REF!="MOURVEDRE N"),#REF!,0))</f>
        <v>#REF!</v>
      </c>
      <c r="CK74" s="7" t="e">
        <f>IF(#REF!="","",IF(AND($CE74&gt;0,#REF!="CARIGNAN N"),#REF!,0))</f>
        <v>#REF!</v>
      </c>
      <c r="CL74" s="7" t="e">
        <f>IF(#REF!="","",IF(AND($CE74&gt;0,#REF!="CABERNET SAUVIGNON N"),#REF!,0))</f>
        <v>#REF!</v>
      </c>
      <c r="CM74" s="7" t="e">
        <f>IF(#REF!="","",IF(AND($CE74&gt;0,#REF!="VERMENTINO B"),#REF!,0))</f>
        <v>#REF!</v>
      </c>
      <c r="CN74" s="7" t="e">
        <f>IF(#REF!="","",IF(AND($CE74&gt;0,#REF!="UGNI BLANC B"),#REF!,0))</f>
        <v>#REF!</v>
      </c>
      <c r="CO74" s="7" t="e">
        <f>IF(#REF!="","",IF(AND($CE74&gt;0,#REF!="CLAIRETTE B"),#REF!,0))</f>
        <v>#REF!</v>
      </c>
      <c r="CP74" s="7" t="e">
        <f>IF(#REF!="","",IF(AND($CE74&gt;0,#REF!="semillon B"),#REF!,0))</f>
        <v>#REF!</v>
      </c>
      <c r="CQ74" s="7" t="e">
        <f>IF(#REF!="","",IF(CE74=0,CC74,0))</f>
        <v>#REF!</v>
      </c>
      <c r="CR74" s="17"/>
      <c r="DO74" s="20"/>
      <c r="DP74" s="23" t="s">
        <v>92</v>
      </c>
      <c r="DR74" s="2">
        <f>DR73+DR71</f>
        <v>0</v>
      </c>
    </row>
    <row r="75" spans="9:122" ht="15.75" x14ac:dyDescent="0.25">
      <c r="AA75" s="41"/>
      <c r="AC75"/>
      <c r="BM75" s="23"/>
      <c r="BN75" s="5"/>
      <c r="BY75" s="32"/>
      <c r="BZ75" s="1" t="s">
        <v>59</v>
      </c>
      <c r="CA75" s="5"/>
      <c r="CB75" s="2">
        <f>IF(CB60=CB57,0,IF(CB60&lt;CB57,CB57-CB60,""))</f>
        <v>37.5</v>
      </c>
      <c r="CC75" s="7" t="e">
        <f>IF(#REF!="","",IF(#REF!="PF",#REF!,0))</f>
        <v>#REF!</v>
      </c>
      <c r="CD75" s="7" t="e">
        <f>IF(#REF!="","",IF(#REF!="PF",IF((#REF!+4)&lt;YEAR(#REF!),0,#REF!),0))</f>
        <v>#REF!</v>
      </c>
      <c r="CE75" s="7" t="e">
        <f>IF(#REF!="","",IF(AND(CD75&gt;0,#REF!&lt;&gt;""),CC75,0))</f>
        <v>#REF!</v>
      </c>
      <c r="CF75" s="7" t="e">
        <f>IF(#REF!="","",IF(AND($CE75&gt;0,#REF!= "GRENACHE N"),#REF!,0))</f>
        <v>#REF!</v>
      </c>
      <c r="CG75" s="7" t="e">
        <f>IF(#REF!="","",IF(AND($CE75&gt;0,#REF!="SYRAH N"),#REF!,0))</f>
        <v>#REF!</v>
      </c>
      <c r="CH75" s="7" t="e">
        <f>IF(#REF!="","",IF(AND($CE75&gt;0,#REF!="CINSAUT N"),#REF!,0))</f>
        <v>#REF!</v>
      </c>
      <c r="CI75" s="7" t="e">
        <f>IF(#REF!="","",IF(AND($CE75&gt;0,#REF!="TIBOUREN N"),#REF!,0))</f>
        <v>#REF!</v>
      </c>
      <c r="CJ75" s="7" t="e">
        <f>IF(#REF!="","",IF(AND($CE75&gt;0,#REF!="MOURVEDRE N"),#REF!,0))</f>
        <v>#REF!</v>
      </c>
      <c r="CK75" s="7" t="e">
        <f>IF(#REF!="","",IF(AND($CE75&gt;0,#REF!="CARIGNAN N"),#REF!,0))</f>
        <v>#REF!</v>
      </c>
      <c r="CL75" s="7" t="e">
        <f>IF(#REF!="","",IF(AND($CE75&gt;0,#REF!="CABERNET SAUVIGNON N"),#REF!,0))</f>
        <v>#REF!</v>
      </c>
      <c r="CM75" s="7" t="e">
        <f>IF(#REF!="","",IF(AND($CE75&gt;0,#REF!="VERMENTINO B"),#REF!,0))</f>
        <v>#REF!</v>
      </c>
      <c r="CN75" s="7" t="e">
        <f>IF(#REF!="","",IF(AND($CE75&gt;0,#REF!="UGNI BLANC B"),#REF!,0))</f>
        <v>#REF!</v>
      </c>
      <c r="CO75" s="7" t="e">
        <f>IF(#REF!="","",IF(AND($CE75&gt;0,#REF!="CLAIRETTE B"),#REF!,0))</f>
        <v>#REF!</v>
      </c>
      <c r="CP75" s="7" t="e">
        <f>IF(#REF!="","",IF(AND($CE75&gt;0,#REF!="semillon B"),#REF!,0))</f>
        <v>#REF!</v>
      </c>
      <c r="CQ75" s="7" t="e">
        <f>IF(#REF!="","",IF(CE75=0,CC75,0))</f>
        <v>#REF!</v>
      </c>
      <c r="CR75" s="17"/>
      <c r="DO75" s="32"/>
      <c r="DP75" s="23" t="s">
        <v>78</v>
      </c>
      <c r="DR75" s="2">
        <f>DM37+DM41+DR74</f>
        <v>0</v>
      </c>
    </row>
    <row r="76" spans="9:122" ht="16.5" customHeight="1" x14ac:dyDescent="0.25">
      <c r="AA76" s="41"/>
      <c r="AB76" s="24"/>
      <c r="AC76"/>
      <c r="BM76" s="23"/>
      <c r="BN76" s="5"/>
      <c r="BY76" s="32"/>
      <c r="BZ76" s="1" t="s">
        <v>63</v>
      </c>
      <c r="CA76" s="5"/>
      <c r="CB76" s="2">
        <f>IF(CB75&lt;BR44+BR43+BR45+BR42,CB75,BR44+BR43+BR45+BR42)</f>
        <v>0</v>
      </c>
      <c r="CC76" s="7" t="e">
        <f>IF(#REF!="","",IF(#REF!="PF",#REF!,0))</f>
        <v>#REF!</v>
      </c>
      <c r="CD76" s="7" t="e">
        <f>IF(#REF!="","",IF(#REF!="PF",IF((#REF!+4)&lt;YEAR(#REF!),0,#REF!),0))</f>
        <v>#REF!</v>
      </c>
      <c r="CE76" s="7" t="e">
        <f>IF(#REF!="","",IF(AND(CD76&gt;0,#REF!&lt;&gt;""),CC76,0))</f>
        <v>#REF!</v>
      </c>
      <c r="CF76" s="7" t="e">
        <f>IF(#REF!="","",IF(AND($CE76&gt;0,#REF!= "GRENACHE N"),#REF!,0))</f>
        <v>#REF!</v>
      </c>
      <c r="CG76" s="7" t="e">
        <f>IF(#REF!="","",IF(AND($CE76&gt;0,#REF!="SYRAH N"),#REF!,0))</f>
        <v>#REF!</v>
      </c>
      <c r="CH76" s="7" t="e">
        <f>IF(#REF!="","",IF(AND($CE76&gt;0,#REF!="CINSAUT N"),#REF!,0))</f>
        <v>#REF!</v>
      </c>
      <c r="CI76" s="7" t="e">
        <f>IF(#REF!="","",IF(AND($CE76&gt;0,#REF!="TIBOUREN N"),#REF!,0))</f>
        <v>#REF!</v>
      </c>
      <c r="CJ76" s="7" t="e">
        <f>IF(#REF!="","",IF(AND($CE76&gt;0,#REF!="MOURVEDRE N"),#REF!,0))</f>
        <v>#REF!</v>
      </c>
      <c r="CK76" s="7" t="e">
        <f>IF(#REF!="","",IF(AND($CE76&gt;0,#REF!="CARIGNAN N"),#REF!,0))</f>
        <v>#REF!</v>
      </c>
      <c r="CL76" s="7" t="e">
        <f>IF(#REF!="","",IF(AND($CE76&gt;0,#REF!="CABERNET SAUVIGNON N"),#REF!,0))</f>
        <v>#REF!</v>
      </c>
      <c r="CM76" s="7" t="e">
        <f>IF(#REF!="","",IF(AND($CE76&gt;0,#REF!="VERMENTINO B"),#REF!,0))</f>
        <v>#REF!</v>
      </c>
      <c r="CN76" s="7" t="e">
        <f>IF(#REF!="","",IF(AND($CE76&gt;0,#REF!="UGNI BLANC B"),#REF!,0))</f>
        <v>#REF!</v>
      </c>
      <c r="CO76" s="7" t="e">
        <f>IF(#REF!="","",IF(AND($CE76&gt;0,#REF!="CLAIRETTE B"),#REF!,0))</f>
        <v>#REF!</v>
      </c>
      <c r="CP76" s="7" t="e">
        <f>IF(#REF!="","",IF(AND($CE76&gt;0,#REF!="semillon B"),#REF!,0))</f>
        <v>#REF!</v>
      </c>
      <c r="CQ76" s="7" t="e">
        <f>IF(#REF!="","",IF(CE76=0,CC76,0))</f>
        <v>#REF!</v>
      </c>
      <c r="CR76" s="17"/>
      <c r="DO76" s="32"/>
      <c r="DP76" s="23"/>
    </row>
    <row r="77" spans="9:122" ht="15.75" x14ac:dyDescent="0.25">
      <c r="BM77" s="23"/>
      <c r="BN77" s="5"/>
      <c r="BY77" s="32"/>
      <c r="BZ77" s="23" t="s">
        <v>68</v>
      </c>
      <c r="CA77" s="5"/>
      <c r="CB77" s="24">
        <f>IF(CB76=0,0,CB76*100/CB81)</f>
        <v>0</v>
      </c>
      <c r="CC77" s="7" t="e">
        <f>IF(#REF!="","",IF(#REF!="PF",#REF!,0))</f>
        <v>#REF!</v>
      </c>
      <c r="CD77" s="7" t="e">
        <f>IF(#REF!="","",IF(#REF!="PF",IF((#REF!+4)&lt;YEAR(#REF!),0,#REF!),0))</f>
        <v>#REF!</v>
      </c>
      <c r="CE77" s="7" t="e">
        <f>IF(#REF!="","",IF(AND(CD77&gt;0,#REF!&lt;&gt;""),CC77,0))</f>
        <v>#REF!</v>
      </c>
      <c r="CF77" s="7" t="e">
        <f>IF(#REF!="","",IF(AND($CE77&gt;0,#REF!= "GRENACHE N"),#REF!,0))</f>
        <v>#REF!</v>
      </c>
      <c r="CG77" s="7" t="e">
        <f>IF(#REF!="","",IF(AND($CE77&gt;0,#REF!="SYRAH N"),#REF!,0))</f>
        <v>#REF!</v>
      </c>
      <c r="CH77" s="7" t="e">
        <f>IF(#REF!="","",IF(AND($CE77&gt;0,#REF!="CINSAUT N"),#REF!,0))</f>
        <v>#REF!</v>
      </c>
      <c r="CI77" s="7" t="e">
        <f>IF(#REF!="","",IF(AND($CE77&gt;0,#REF!="TIBOUREN N"),#REF!,0))</f>
        <v>#REF!</v>
      </c>
      <c r="CJ77" s="7" t="e">
        <f>IF(#REF!="","",IF(AND($CE77&gt;0,#REF!="MOURVEDRE N"),#REF!,0))</f>
        <v>#REF!</v>
      </c>
      <c r="CK77" s="7" t="e">
        <f>IF(#REF!="","",IF(AND($CE77&gt;0,#REF!="CARIGNAN N"),#REF!,0))</f>
        <v>#REF!</v>
      </c>
      <c r="CL77" s="7" t="e">
        <f>IF(#REF!="","",IF(AND($CE77&gt;0,#REF!="CABERNET SAUVIGNON N"),#REF!,0))</f>
        <v>#REF!</v>
      </c>
      <c r="CM77" s="7" t="e">
        <f>IF(#REF!="","",IF(AND($CE77&gt;0,#REF!="VERMENTINO B"),#REF!,0))</f>
        <v>#REF!</v>
      </c>
      <c r="CN77" s="7" t="e">
        <f>IF(#REF!="","",IF(AND($CE77&gt;0,#REF!="UGNI BLANC B"),#REF!,0))</f>
        <v>#REF!</v>
      </c>
      <c r="CO77" s="7" t="e">
        <f>IF(#REF!="","",IF(AND($CE77&gt;0,#REF!="CLAIRETTE B"),#REF!,0))</f>
        <v>#REF!</v>
      </c>
      <c r="CP77" s="7" t="e">
        <f>IF(#REF!="","",IF(AND($CE77&gt;0,#REF!="semillon B"),#REF!,0))</f>
        <v>#REF!</v>
      </c>
      <c r="CQ77" s="7" t="e">
        <f>IF(#REF!="","",IF(CE77=0,CC77,0))</f>
        <v>#REF!</v>
      </c>
      <c r="CR77" s="17"/>
      <c r="DO77" s="32"/>
      <c r="DP77" s="23" t="s">
        <v>95</v>
      </c>
      <c r="DR77" s="2">
        <f>0.1*DR75</f>
        <v>0</v>
      </c>
    </row>
    <row r="78" spans="9:122" ht="16.5" customHeight="1" x14ac:dyDescent="0.25">
      <c r="BM78" s="23"/>
      <c r="BN78" s="1"/>
      <c r="BY78" s="32"/>
      <c r="BZ78" s="23" t="s">
        <v>71</v>
      </c>
      <c r="CA78" s="5"/>
      <c r="CB78" s="12">
        <f>IF(CB76=0,0,IF(CB77&gt;20,0.25*CB81-0.25*CB76,CB76))</f>
        <v>0</v>
      </c>
      <c r="CC78" s="7" t="e">
        <f>IF(#REF!="","",IF(#REF!="PF",#REF!,0))</f>
        <v>#REF!</v>
      </c>
      <c r="CD78" s="7" t="e">
        <f>IF(#REF!="","",IF(#REF!="PF",IF((#REF!+4)&lt;YEAR(#REF!),0,#REF!),0))</f>
        <v>#REF!</v>
      </c>
      <c r="CE78" s="7" t="e">
        <f>IF(#REF!="","",IF(AND(CD78&gt;0,#REF!&lt;&gt;""),CC78,0))</f>
        <v>#REF!</v>
      </c>
      <c r="CF78" s="7" t="e">
        <f>IF(#REF!="","",IF(AND($CE78&gt;0,#REF!= "GRENACHE N"),#REF!,0))</f>
        <v>#REF!</v>
      </c>
      <c r="CG78" s="7" t="e">
        <f>IF(#REF!="","",IF(AND($CE78&gt;0,#REF!="SYRAH N"),#REF!,0))</f>
        <v>#REF!</v>
      </c>
      <c r="CH78" s="7" t="e">
        <f>IF(#REF!="","",IF(AND($CE78&gt;0,#REF!="CINSAUT N"),#REF!,0))</f>
        <v>#REF!</v>
      </c>
      <c r="CI78" s="7" t="e">
        <f>IF(#REF!="","",IF(AND($CE78&gt;0,#REF!="TIBOUREN N"),#REF!,0))</f>
        <v>#REF!</v>
      </c>
      <c r="CJ78" s="7" t="e">
        <f>IF(#REF!="","",IF(AND($CE78&gt;0,#REF!="MOURVEDRE N"),#REF!,0))</f>
        <v>#REF!</v>
      </c>
      <c r="CK78" s="7" t="e">
        <f>IF(#REF!="","",IF(AND($CE78&gt;0,#REF!="CARIGNAN N"),#REF!,0))</f>
        <v>#REF!</v>
      </c>
      <c r="CL78" s="7" t="e">
        <f>IF(#REF!="","",IF(AND($CE78&gt;0,#REF!="CABERNET SAUVIGNON N"),#REF!,0))</f>
        <v>#REF!</v>
      </c>
      <c r="CM78" s="7" t="e">
        <f>IF(#REF!="","",IF(AND($CE78&gt;0,#REF!="VERMENTINO B"),#REF!,0))</f>
        <v>#REF!</v>
      </c>
      <c r="CN78" s="7" t="e">
        <f>IF(#REF!="","",IF(AND($CE78&gt;0,#REF!="UGNI BLANC B"),#REF!,0))</f>
        <v>#REF!</v>
      </c>
      <c r="CO78" s="7" t="e">
        <f>IF(#REF!="","",IF(AND($CE78&gt;0,#REF!="CLAIRETTE B"),#REF!,0))</f>
        <v>#REF!</v>
      </c>
      <c r="CP78" s="7" t="e">
        <f>IF(#REF!="","",IF(AND($CE78&gt;0,#REF!="semillon B"),#REF!,0))</f>
        <v>#REF!</v>
      </c>
      <c r="CQ78" s="7" t="e">
        <f>IF(#REF!="","",IF(CE78=0,CC78,0))</f>
        <v>#REF!</v>
      </c>
      <c r="CR78" s="17"/>
      <c r="DO78" s="32"/>
      <c r="DP78" s="23" t="s">
        <v>84</v>
      </c>
      <c r="DR78" s="12">
        <f>IF(DR77=0,0,IF(DH43+DH44+DH45&gt;DR77,DR77,DH43+DH44+DH45))</f>
        <v>0</v>
      </c>
    </row>
    <row r="79" spans="9:122" x14ac:dyDescent="0.25">
      <c r="BM79" s="1"/>
      <c r="BN79" s="1"/>
      <c r="BZ79" s="23"/>
      <c r="CA79" s="5"/>
      <c r="CC79" s="7" t="e">
        <f>IF(#REF!="","",IF(#REF!="PF",#REF!,0))</f>
        <v>#REF!</v>
      </c>
      <c r="CD79" s="7" t="e">
        <f>IF(#REF!="","",IF(#REF!="PF",IF((#REF!+4)&lt;YEAR(#REF!),0,#REF!),0))</f>
        <v>#REF!</v>
      </c>
      <c r="CE79" s="7" t="e">
        <f>IF(#REF!="","",IF(AND(CD79&gt;0,#REF!&lt;&gt;""),CC79,0))</f>
        <v>#REF!</v>
      </c>
      <c r="CF79" s="7" t="e">
        <f>IF(#REF!="","",IF(AND($CE79&gt;0,#REF!= "GRENACHE N"),#REF!,0))</f>
        <v>#REF!</v>
      </c>
      <c r="CG79" s="7" t="e">
        <f>IF(#REF!="","",IF(AND($CE79&gt;0,#REF!="SYRAH N"),#REF!,0))</f>
        <v>#REF!</v>
      </c>
      <c r="CH79" s="7" t="e">
        <f>IF(#REF!="","",IF(AND($CE79&gt;0,#REF!="CINSAUT N"),#REF!,0))</f>
        <v>#REF!</v>
      </c>
      <c r="CI79" s="7" t="e">
        <f>IF(#REF!="","",IF(AND($CE79&gt;0,#REF!="TIBOUREN N"),#REF!,0))</f>
        <v>#REF!</v>
      </c>
      <c r="CJ79" s="7" t="e">
        <f>IF(#REF!="","",IF(AND($CE79&gt;0,#REF!="MOURVEDRE N"),#REF!,0))</f>
        <v>#REF!</v>
      </c>
      <c r="CK79" s="7" t="e">
        <f>IF(#REF!="","",IF(AND($CE79&gt;0,#REF!="CARIGNAN N"),#REF!,0))</f>
        <v>#REF!</v>
      </c>
      <c r="CL79" s="7" t="e">
        <f>IF(#REF!="","",IF(AND($CE79&gt;0,#REF!="CABERNET SAUVIGNON N"),#REF!,0))</f>
        <v>#REF!</v>
      </c>
      <c r="CM79" s="7" t="e">
        <f>IF(#REF!="","",IF(AND($CE79&gt;0,#REF!="VERMENTINO B"),#REF!,0))</f>
        <v>#REF!</v>
      </c>
      <c r="CN79" s="7" t="e">
        <f>IF(#REF!="","",IF(AND($CE79&gt;0,#REF!="UGNI BLANC B"),#REF!,0))</f>
        <v>#REF!</v>
      </c>
      <c r="CO79" s="7" t="e">
        <f>IF(#REF!="","",IF(AND($CE79&gt;0,#REF!="CLAIRETTE B"),#REF!,0))</f>
        <v>#REF!</v>
      </c>
      <c r="CP79" s="7" t="e">
        <f>IF(#REF!="","",IF(AND($CE79&gt;0,#REF!="semillon B"),#REF!,0))</f>
        <v>#REF!</v>
      </c>
      <c r="CQ79" s="7" t="e">
        <f>IF(#REF!="","",IF(CE79=0,CC79,0))</f>
        <v>#REF!</v>
      </c>
      <c r="CR79" s="17"/>
      <c r="DP79" s="23"/>
    </row>
    <row r="80" spans="9:122" x14ac:dyDescent="0.25">
      <c r="BM80" s="23"/>
      <c r="BN80" s="1"/>
      <c r="BZ80" s="23"/>
      <c r="CA80" s="5"/>
      <c r="CC80" s="7" t="e">
        <f>IF(#REF!="","",IF(#REF!="PF",#REF!,0))</f>
        <v>#REF!</v>
      </c>
      <c r="CD80" s="7" t="e">
        <f>IF(#REF!="","",IF(#REF!="PF",IF((#REF!+4)&lt;YEAR(#REF!),0,#REF!),0))</f>
        <v>#REF!</v>
      </c>
      <c r="CE80" s="7" t="e">
        <f>IF(#REF!="","",IF(AND(CD80&gt;0,#REF!&lt;&gt;""),CC80,0))</f>
        <v>#REF!</v>
      </c>
      <c r="CF80" s="7" t="e">
        <f>IF(#REF!="","",IF(AND($CE80&gt;0,#REF!= "GRENACHE N"),#REF!,0))</f>
        <v>#REF!</v>
      </c>
      <c r="CG80" s="7" t="e">
        <f>IF(#REF!="","",IF(AND($CE80&gt;0,#REF!="SYRAH N"),#REF!,0))</f>
        <v>#REF!</v>
      </c>
      <c r="CH80" s="7" t="e">
        <f>IF(#REF!="","",IF(AND($CE80&gt;0,#REF!="CINSAUT N"),#REF!,0))</f>
        <v>#REF!</v>
      </c>
      <c r="CI80" s="7" t="e">
        <f>IF(#REF!="","",IF(AND($CE80&gt;0,#REF!="TIBOUREN N"),#REF!,0))</f>
        <v>#REF!</v>
      </c>
      <c r="CJ80" s="7" t="e">
        <f>IF(#REF!="","",IF(AND($CE80&gt;0,#REF!="MOURVEDRE N"),#REF!,0))</f>
        <v>#REF!</v>
      </c>
      <c r="CK80" s="7" t="e">
        <f>IF(#REF!="","",IF(AND($CE80&gt;0,#REF!="CARIGNAN N"),#REF!,0))</f>
        <v>#REF!</v>
      </c>
      <c r="CL80" s="7" t="e">
        <f>IF(#REF!="","",IF(AND($CE80&gt;0,#REF!="CABERNET SAUVIGNON N"),#REF!,0))</f>
        <v>#REF!</v>
      </c>
      <c r="CM80" s="7" t="e">
        <f>IF(#REF!="","",IF(AND($CE80&gt;0,#REF!="VERMENTINO B"),#REF!,0))</f>
        <v>#REF!</v>
      </c>
      <c r="CN80" s="7" t="e">
        <f>IF(#REF!="","",IF(AND($CE80&gt;0,#REF!="UGNI BLANC B"),#REF!,0))</f>
        <v>#REF!</v>
      </c>
      <c r="CO80" s="7" t="e">
        <f>IF(#REF!="","",IF(AND($CE80&gt;0,#REF!="CLAIRETTE B"),#REF!,0))</f>
        <v>#REF!</v>
      </c>
      <c r="CP80" s="7" t="e">
        <f>IF(#REF!="","",IF(AND($CE80&gt;0,#REF!="semillon B"),#REF!,0))</f>
        <v>#REF!</v>
      </c>
      <c r="CQ80" s="7" t="e">
        <f>IF(#REF!="","",IF(CE80=0,CC80,0))</f>
        <v>#REF!</v>
      </c>
      <c r="CR80" s="17"/>
      <c r="DP80" s="23" t="s">
        <v>88</v>
      </c>
      <c r="DR80" s="2">
        <f>DR63-DR78</f>
        <v>0</v>
      </c>
    </row>
    <row r="81" spans="56:122" ht="16.5" customHeight="1" x14ac:dyDescent="0.25">
      <c r="BM81" s="23"/>
      <c r="BN81" s="1"/>
      <c r="BZ81" s="23" t="s">
        <v>75</v>
      </c>
      <c r="CA81" s="5"/>
      <c r="CB81" s="2">
        <f>BW37+BW41+CB76</f>
        <v>150</v>
      </c>
      <c r="CC81" s="7" t="e">
        <f>IF(#REF!="","",IF(#REF!="PF",#REF!,0))</f>
        <v>#REF!</v>
      </c>
      <c r="CD81" s="7" t="e">
        <f>IF(#REF!="","",IF(#REF!="PF",IF((#REF!+4)&lt;YEAR(#REF!),0,#REF!),0))</f>
        <v>#REF!</v>
      </c>
      <c r="CE81" s="7" t="e">
        <f>IF(#REF!="","",IF(AND(CD81&gt;0,#REF!&lt;&gt;""),CC81,0))</f>
        <v>#REF!</v>
      </c>
      <c r="CF81" s="7" t="e">
        <f>IF(#REF!="","",IF(AND($CE81&gt;0,#REF!= "GRENACHE N"),#REF!,0))</f>
        <v>#REF!</v>
      </c>
      <c r="CG81" s="7" t="e">
        <f>IF(#REF!="","",IF(AND($CE81&gt;0,#REF!="SYRAH N"),#REF!,0))</f>
        <v>#REF!</v>
      </c>
      <c r="CH81" s="7" t="e">
        <f>IF(#REF!="","",IF(AND($CE81&gt;0,#REF!="CINSAUT N"),#REF!,0))</f>
        <v>#REF!</v>
      </c>
      <c r="CI81" s="7" t="e">
        <f>IF(#REF!="","",IF(AND($CE81&gt;0,#REF!="TIBOUREN N"),#REF!,0))</f>
        <v>#REF!</v>
      </c>
      <c r="CJ81" s="7" t="e">
        <f>IF(#REF!="","",IF(AND($CE81&gt;0,#REF!="MOURVEDRE N"),#REF!,0))</f>
        <v>#REF!</v>
      </c>
      <c r="CK81" s="7" t="e">
        <f>IF(#REF!="","",IF(AND($CE81&gt;0,#REF!="CARIGNAN N"),#REF!,0))</f>
        <v>#REF!</v>
      </c>
      <c r="CL81" s="7" t="e">
        <f>IF(#REF!="","",IF(AND($CE81&gt;0,#REF!="CABERNET SAUVIGNON N"),#REF!,0))</f>
        <v>#REF!</v>
      </c>
      <c r="CM81" s="7" t="e">
        <f>IF(#REF!="","",IF(AND($CE81&gt;0,#REF!="VERMENTINO B"),#REF!,0))</f>
        <v>#REF!</v>
      </c>
      <c r="CN81" s="7" t="e">
        <f>IF(#REF!="","",IF(AND($CE81&gt;0,#REF!="UGNI BLANC B"),#REF!,0))</f>
        <v>#REF!</v>
      </c>
      <c r="CO81" s="7" t="e">
        <f>IF(#REF!="","",IF(AND($CE81&gt;0,#REF!="CLAIRETTE B"),#REF!,0))</f>
        <v>#REF!</v>
      </c>
      <c r="CP81" s="7" t="e">
        <f>IF(#REF!="","",IF(AND($CE81&gt;0,#REF!="semillon B"),#REF!,0))</f>
        <v>#REF!</v>
      </c>
      <c r="CQ81" s="7" t="e">
        <f>IF(#REF!="","",IF(CE81=0,CC81,0))</f>
        <v>#REF!</v>
      </c>
      <c r="CR81" s="17"/>
      <c r="DP81" s="23" t="s">
        <v>89</v>
      </c>
      <c r="DR81" s="2">
        <f>IF(DH42=0,0,IF(DH42&gt;DR80,DR80,DH42))</f>
        <v>0</v>
      </c>
    </row>
    <row r="82" spans="56:122" ht="16.5" customHeight="1" x14ac:dyDescent="0.25">
      <c r="BM82" s="23"/>
      <c r="BN82" s="1"/>
      <c r="BZ82" s="23" t="s">
        <v>78</v>
      </c>
      <c r="CA82" s="1"/>
      <c r="CB82" s="2">
        <f>BW37+BW41+CB78</f>
        <v>150</v>
      </c>
      <c r="CC82" s="7" t="e">
        <f>IF(#REF!="","",IF(#REF!="PF",#REF!,0))</f>
        <v>#REF!</v>
      </c>
      <c r="CD82" s="7" t="e">
        <f>IF(#REF!="","",IF(#REF!="PF",IF((#REF!+4)&lt;YEAR(#REF!),0,#REF!),0))</f>
        <v>#REF!</v>
      </c>
      <c r="CE82" s="7" t="e">
        <f>IF(#REF!="","",IF(AND(CD82&gt;0,#REF!&lt;&gt;""),CC82,0))</f>
        <v>#REF!</v>
      </c>
      <c r="CF82" s="7" t="e">
        <f>IF(#REF!="","",IF(AND($CE82&gt;0,#REF!= "GRENACHE N"),#REF!,0))</f>
        <v>#REF!</v>
      </c>
      <c r="CG82" s="7" t="e">
        <f>IF(#REF!="","",IF(AND($CE82&gt;0,#REF!="SYRAH N"),#REF!,0))</f>
        <v>#REF!</v>
      </c>
      <c r="CH82" s="7" t="e">
        <f>IF(#REF!="","",IF(AND($CE82&gt;0,#REF!="CINSAUT N"),#REF!,0))</f>
        <v>#REF!</v>
      </c>
      <c r="CI82" s="7" t="e">
        <f>IF(#REF!="","",IF(AND($CE82&gt;0,#REF!="TIBOUREN N"),#REF!,0))</f>
        <v>#REF!</v>
      </c>
      <c r="CJ82" s="7" t="e">
        <f>IF(#REF!="","",IF(AND($CE82&gt;0,#REF!="MOURVEDRE N"),#REF!,0))</f>
        <v>#REF!</v>
      </c>
      <c r="CK82" s="7" t="e">
        <f>IF(#REF!="","",IF(AND($CE82&gt;0,#REF!="CARIGNAN N"),#REF!,0))</f>
        <v>#REF!</v>
      </c>
      <c r="CL82" s="7" t="e">
        <f>IF(#REF!="","",IF(AND($CE82&gt;0,#REF!="CABERNET SAUVIGNON N"),#REF!,0))</f>
        <v>#REF!</v>
      </c>
      <c r="CM82" s="7" t="e">
        <f>IF(#REF!="","",IF(AND($CE82&gt;0,#REF!="VERMENTINO B"),#REF!,0))</f>
        <v>#REF!</v>
      </c>
      <c r="CN82" s="7" t="e">
        <f>IF(#REF!="","",IF(AND($CE82&gt;0,#REF!="UGNI BLANC B"),#REF!,0))</f>
        <v>#REF!</v>
      </c>
      <c r="CO82" s="7" t="e">
        <f>IF(#REF!="","",IF(AND($CE82&gt;0,#REF!="CLAIRETTE B"),#REF!,0))</f>
        <v>#REF!</v>
      </c>
      <c r="CP82" s="7" t="e">
        <f>IF(#REF!="","",IF(AND($CE82&gt;0,#REF!="semillon B"),#REF!,0))</f>
        <v>#REF!</v>
      </c>
      <c r="CQ82" s="7" t="e">
        <f>IF(#REF!="","",IF(CE82=0,CC82,0))</f>
        <v>#REF!</v>
      </c>
      <c r="CR82" s="17"/>
      <c r="DP82" s="23" t="s">
        <v>92</v>
      </c>
      <c r="DR82" s="12">
        <f>DR81+DR78</f>
        <v>0</v>
      </c>
    </row>
    <row r="83" spans="56:122" x14ac:dyDescent="0.25">
      <c r="BM83" s="23"/>
      <c r="BN83" s="1"/>
      <c r="BO83" s="24"/>
      <c r="BZ83" s="1"/>
      <c r="CA83" s="1"/>
      <c r="CC83" s="7" t="e">
        <f>IF(#REF!="","",IF(#REF!="PF",#REF!,0))</f>
        <v>#REF!</v>
      </c>
      <c r="CD83" s="7" t="e">
        <f>IF(#REF!="","",IF(#REF!="PF",IF((#REF!+4)&lt;YEAR(#REF!),0,#REF!),0))</f>
        <v>#REF!</v>
      </c>
      <c r="CE83" s="7" t="e">
        <f>IF(#REF!="","",IF(AND(CD83&gt;0,#REF!&lt;&gt;""),CC83,0))</f>
        <v>#REF!</v>
      </c>
      <c r="CF83" s="7" t="e">
        <f>IF(#REF!="","",IF(AND($CE83&gt;0,#REF!= "GRENACHE N"),#REF!,0))</f>
        <v>#REF!</v>
      </c>
      <c r="CG83" s="7" t="e">
        <f>IF(#REF!="","",IF(AND($CE83&gt;0,#REF!="SYRAH N"),#REF!,0))</f>
        <v>#REF!</v>
      </c>
      <c r="CH83" s="7" t="e">
        <f>IF(#REF!="","",IF(AND($CE83&gt;0,#REF!="CINSAUT N"),#REF!,0))</f>
        <v>#REF!</v>
      </c>
      <c r="CI83" s="7" t="e">
        <f>IF(#REF!="","",IF(AND($CE83&gt;0,#REF!="TIBOUREN N"),#REF!,0))</f>
        <v>#REF!</v>
      </c>
      <c r="CJ83" s="7" t="e">
        <f>IF(#REF!="","",IF(AND($CE83&gt;0,#REF!="MOURVEDRE N"),#REF!,0))</f>
        <v>#REF!</v>
      </c>
      <c r="CK83" s="7" t="e">
        <f>IF(#REF!="","",IF(AND($CE83&gt;0,#REF!="CARIGNAN N"),#REF!,0))</f>
        <v>#REF!</v>
      </c>
      <c r="CL83" s="7" t="e">
        <f>IF(#REF!="","",IF(AND($CE83&gt;0,#REF!="CABERNET SAUVIGNON N"),#REF!,0))</f>
        <v>#REF!</v>
      </c>
      <c r="CM83" s="7" t="e">
        <f>IF(#REF!="","",IF(AND($CE83&gt;0,#REF!="VERMENTINO B"),#REF!,0))</f>
        <v>#REF!</v>
      </c>
      <c r="CN83" s="7" t="e">
        <f>IF(#REF!="","",IF(AND($CE83&gt;0,#REF!="UGNI BLANC B"),#REF!,0))</f>
        <v>#REF!</v>
      </c>
      <c r="CO83" s="7" t="e">
        <f>IF(#REF!="","",IF(AND($CE83&gt;0,#REF!="CLAIRETTE B"),#REF!,0))</f>
        <v>#REF!</v>
      </c>
      <c r="CP83" s="7" t="e">
        <f>IF(#REF!="","",IF(AND($CE83&gt;0,#REF!="semillon B"),#REF!,0))</f>
        <v>#REF!</v>
      </c>
      <c r="CQ83" s="7" t="e">
        <f>IF(#REF!="","",IF(CE83=0,CC83,0))</f>
        <v>#REF!</v>
      </c>
      <c r="CR83" s="17"/>
      <c r="DE83"/>
    </row>
    <row r="84" spans="56:122" x14ac:dyDescent="0.25">
      <c r="BD84" s="36"/>
      <c r="BG84" s="399"/>
      <c r="BH84" s="399"/>
      <c r="BI84" s="399"/>
      <c r="BJ84" s="398"/>
      <c r="BK84" s="398"/>
      <c r="BM84" s="23"/>
      <c r="BN84" s="1"/>
      <c r="BZ84" s="23" t="s">
        <v>81</v>
      </c>
      <c r="CA84" s="1"/>
      <c r="CB84" s="2">
        <f>(BR43+BR44+BR45)-(1/0.9)*(BR43+BR44+BR45)+(0.1/0.9)*(BW37+BW41+BR43+BR44+BR45+BR42)</f>
        <v>16.666666666666668</v>
      </c>
      <c r="CC84" s="7" t="e">
        <f>IF(#REF!="","",IF(#REF!="PF",#REF!,0))</f>
        <v>#REF!</v>
      </c>
      <c r="CD84" s="7" t="e">
        <f>IF(#REF!="","",IF(#REF!="PF",IF((#REF!+4)&lt;YEAR(#REF!),0,#REF!),0))</f>
        <v>#REF!</v>
      </c>
      <c r="CE84" s="7" t="e">
        <f>IF(#REF!="","",IF(AND(CD84&gt;0,#REF!&lt;&gt;""),CC84,0))</f>
        <v>#REF!</v>
      </c>
      <c r="CF84" s="7" t="e">
        <f>IF(#REF!="","",IF(AND($CE84&gt;0,#REF!= "GRENACHE N"),#REF!,0))</f>
        <v>#REF!</v>
      </c>
      <c r="CG84" s="7" t="e">
        <f>IF(#REF!="","",IF(AND($CE84&gt;0,#REF!="SYRAH N"),#REF!,0))</f>
        <v>#REF!</v>
      </c>
      <c r="CH84" s="7" t="e">
        <f>IF(#REF!="","",IF(AND($CE84&gt;0,#REF!="CINSAUT N"),#REF!,0))</f>
        <v>#REF!</v>
      </c>
      <c r="CI84" s="7" t="e">
        <f>IF(#REF!="","",IF(AND($CE84&gt;0,#REF!="TIBOUREN N"),#REF!,0))</f>
        <v>#REF!</v>
      </c>
      <c r="CJ84" s="7" t="e">
        <f>IF(#REF!="","",IF(AND($CE84&gt;0,#REF!="MOURVEDRE N"),#REF!,0))</f>
        <v>#REF!</v>
      </c>
      <c r="CK84" s="7" t="e">
        <f>IF(#REF!="","",IF(AND($CE84&gt;0,#REF!="CARIGNAN N"),#REF!,0))</f>
        <v>#REF!</v>
      </c>
      <c r="CL84" s="7" t="e">
        <f>IF(#REF!="","",IF(AND($CE84&gt;0,#REF!="CABERNET SAUVIGNON N"),#REF!,0))</f>
        <v>#REF!</v>
      </c>
      <c r="CM84" s="7" t="e">
        <f>IF(#REF!="","",IF(AND($CE84&gt;0,#REF!="VERMENTINO B"),#REF!,0))</f>
        <v>#REF!</v>
      </c>
      <c r="CN84" s="7" t="e">
        <f>IF(#REF!="","",IF(AND($CE84&gt;0,#REF!="UGNI BLANC B"),#REF!,0))</f>
        <v>#REF!</v>
      </c>
      <c r="CO84" s="7" t="e">
        <f>IF(#REF!="","",IF(AND($CE84&gt;0,#REF!="CLAIRETTE B"),#REF!,0))</f>
        <v>#REF!</v>
      </c>
      <c r="CP84" s="7" t="e">
        <f>IF(#REF!="","",IF(AND($CE84&gt;0,#REF!="semillon B"),#REF!,0))</f>
        <v>#REF!</v>
      </c>
      <c r="CQ84" s="7" t="e">
        <f>IF(#REF!="","",IF(CE84=0,CC84,0))</f>
        <v>#REF!</v>
      </c>
      <c r="CR84" s="17"/>
      <c r="DE84"/>
    </row>
    <row r="85" spans="56:122" x14ac:dyDescent="0.25">
      <c r="BD85" s="34"/>
      <c r="BE85" s="18"/>
      <c r="BG85" s="399"/>
      <c r="BH85" s="399"/>
      <c r="BI85" s="399"/>
      <c r="BJ85" s="35"/>
      <c r="BK85" s="22"/>
      <c r="BM85" s="23"/>
      <c r="BZ85" s="23" t="s">
        <v>84</v>
      </c>
      <c r="CA85" s="1"/>
      <c r="CB85" s="2">
        <f>IF(CB84=0,0,IF(BR43+BR44+BR45&gt;CB84,CB84,BR43+BR44+BR45))</f>
        <v>0</v>
      </c>
      <c r="CC85" s="7" t="e">
        <f>IF(#REF!="","",IF(#REF!="PF",#REF!,0))</f>
        <v>#REF!</v>
      </c>
      <c r="CD85" s="7" t="e">
        <f>IF(#REF!="","",IF(#REF!="PF",IF((#REF!+4)&lt;YEAR(#REF!),0,#REF!),0))</f>
        <v>#REF!</v>
      </c>
      <c r="CE85" s="7" t="e">
        <f>IF(#REF!="","",IF(AND(CD85&gt;0,#REF!&lt;&gt;""),CC85,0))</f>
        <v>#REF!</v>
      </c>
      <c r="CF85" s="7" t="e">
        <f>IF(#REF!="","",IF(AND($CE85&gt;0,#REF!= "GRENACHE N"),#REF!,0))</f>
        <v>#REF!</v>
      </c>
      <c r="CG85" s="7" t="e">
        <f>IF(#REF!="","",IF(AND($CE85&gt;0,#REF!="SYRAH N"),#REF!,0))</f>
        <v>#REF!</v>
      </c>
      <c r="CH85" s="7" t="e">
        <f>IF(#REF!="","",IF(AND($CE85&gt;0,#REF!="CINSAUT N"),#REF!,0))</f>
        <v>#REF!</v>
      </c>
      <c r="CI85" s="7" t="e">
        <f>IF(#REF!="","",IF(AND($CE85&gt;0,#REF!="TIBOUREN N"),#REF!,0))</f>
        <v>#REF!</v>
      </c>
      <c r="CJ85" s="7" t="e">
        <f>IF(#REF!="","",IF(AND($CE85&gt;0,#REF!="MOURVEDRE N"),#REF!,0))</f>
        <v>#REF!</v>
      </c>
      <c r="CK85" s="7" t="e">
        <f>IF(#REF!="","",IF(AND($CE85&gt;0,#REF!="CARIGNAN N"),#REF!,0))</f>
        <v>#REF!</v>
      </c>
      <c r="CL85" s="7" t="e">
        <f>IF(#REF!="","",IF(AND($CE85&gt;0,#REF!="CABERNET SAUVIGNON N"),#REF!,0))</f>
        <v>#REF!</v>
      </c>
      <c r="CM85" s="7" t="e">
        <f>IF(#REF!="","",IF(AND($CE85&gt;0,#REF!="VERMENTINO B"),#REF!,0))</f>
        <v>#REF!</v>
      </c>
      <c r="CN85" s="7" t="e">
        <f>IF(#REF!="","",IF(AND($CE85&gt;0,#REF!="UGNI BLANC B"),#REF!,0))</f>
        <v>#REF!</v>
      </c>
      <c r="CO85" s="7" t="e">
        <f>IF(#REF!="","",IF(AND($CE85&gt;0,#REF!="CLAIRETTE B"),#REF!,0))</f>
        <v>#REF!</v>
      </c>
      <c r="CP85" s="7" t="e">
        <f>IF(#REF!="","",IF(AND($CE85&gt;0,#REF!="semillon B"),#REF!,0))</f>
        <v>#REF!</v>
      </c>
      <c r="CQ85" s="7" t="e">
        <f>IF(#REF!="","",IF(CE85=0,CC85,0))</f>
        <v>#REF!</v>
      </c>
      <c r="CR85" s="17"/>
      <c r="DE85"/>
    </row>
    <row r="86" spans="56:122" x14ac:dyDescent="0.25">
      <c r="BG86" s="397"/>
      <c r="BH86" s="397"/>
      <c r="BI86" s="397"/>
      <c r="BJ86" s="398"/>
      <c r="BK86" s="398"/>
      <c r="BM86" s="23"/>
      <c r="BZ86" s="23" t="s">
        <v>86</v>
      </c>
      <c r="CA86" s="1"/>
      <c r="CB86" s="2">
        <f>IF(CB85&gt;CB78,CB78,CB85)</f>
        <v>0</v>
      </c>
      <c r="CC86" s="7" t="e">
        <f>IF(#REF!="","",IF(#REF!="PF",#REF!,0))</f>
        <v>#REF!</v>
      </c>
      <c r="CD86" s="7" t="e">
        <f>IF(#REF!="","",IF(#REF!="PF",IF((#REF!+4)&lt;YEAR(#REF!),0,#REF!),0))</f>
        <v>#REF!</v>
      </c>
      <c r="CE86" s="7" t="e">
        <f>IF(#REF!="","",IF(AND(CD86&gt;0,#REF!&lt;&gt;""),CC86,0))</f>
        <v>#REF!</v>
      </c>
      <c r="CF86" s="7" t="e">
        <f>IF(#REF!="","",IF(AND($CE86&gt;0,#REF!= "GRENACHE N"),#REF!,0))</f>
        <v>#REF!</v>
      </c>
      <c r="CG86" s="7" t="e">
        <f>IF(#REF!="","",IF(AND($CE86&gt;0,#REF!="SYRAH N"),#REF!,0))</f>
        <v>#REF!</v>
      </c>
      <c r="CH86" s="7" t="e">
        <f>IF(#REF!="","",IF(AND($CE86&gt;0,#REF!="CINSAUT N"),#REF!,0))</f>
        <v>#REF!</v>
      </c>
      <c r="CI86" s="7" t="e">
        <f>IF(#REF!="","",IF(AND($CE86&gt;0,#REF!="TIBOUREN N"),#REF!,0))</f>
        <v>#REF!</v>
      </c>
      <c r="CJ86" s="7" t="e">
        <f>IF(#REF!="","",IF(AND($CE86&gt;0,#REF!="MOURVEDRE N"),#REF!,0))</f>
        <v>#REF!</v>
      </c>
      <c r="CK86" s="7" t="e">
        <f>IF(#REF!="","",IF(AND($CE86&gt;0,#REF!="CARIGNAN N"),#REF!,0))</f>
        <v>#REF!</v>
      </c>
      <c r="CL86" s="7" t="e">
        <f>IF(#REF!="","",IF(AND($CE86&gt;0,#REF!="CABERNET SAUVIGNON N"),#REF!,0))</f>
        <v>#REF!</v>
      </c>
      <c r="CM86" s="7" t="e">
        <f>IF(#REF!="","",IF(AND($CE86&gt;0,#REF!="VERMENTINO B"),#REF!,0))</f>
        <v>#REF!</v>
      </c>
      <c r="CN86" s="7" t="e">
        <f>IF(#REF!="","",IF(AND($CE86&gt;0,#REF!="UGNI BLANC B"),#REF!,0))</f>
        <v>#REF!</v>
      </c>
      <c r="CO86" s="7" t="e">
        <f>IF(#REF!="","",IF(AND($CE86&gt;0,#REF!="CLAIRETTE B"),#REF!,0))</f>
        <v>#REF!</v>
      </c>
      <c r="CP86" s="7" t="e">
        <f>IF(#REF!="","",IF(AND($CE86&gt;0,#REF!="semillon B"),#REF!,0))</f>
        <v>#REF!</v>
      </c>
      <c r="CQ86" s="7" t="e">
        <f>IF(#REF!="","",IF(CE86=0,CC86,0))</f>
        <v>#REF!</v>
      </c>
      <c r="CR86" s="17"/>
      <c r="DE86"/>
    </row>
    <row r="87" spans="56:122" x14ac:dyDescent="0.25">
      <c r="BM87" s="23"/>
      <c r="BZ87" s="23" t="s">
        <v>88</v>
      </c>
      <c r="CA87" s="1"/>
      <c r="CB87" s="24">
        <f>CB78-CB86</f>
        <v>0</v>
      </c>
      <c r="CC87" s="7" t="e">
        <f>IF(#REF!="","",IF(#REF!="PF",#REF!,0))</f>
        <v>#REF!</v>
      </c>
      <c r="CD87" s="7" t="e">
        <f>IF(#REF!="","",IF(#REF!="PF",IF((#REF!+4)&lt;YEAR(#REF!),0,#REF!),0))</f>
        <v>#REF!</v>
      </c>
      <c r="CE87" s="7" t="e">
        <f>IF(#REF!="","",IF(AND(CD87&gt;0,#REF!&lt;&gt;""),CC87,0))</f>
        <v>#REF!</v>
      </c>
      <c r="CF87" s="7" t="e">
        <f>IF(#REF!="","",IF(AND($CE87&gt;0,#REF!= "GRENACHE N"),#REF!,0))</f>
        <v>#REF!</v>
      </c>
      <c r="CG87" s="7" t="e">
        <f>IF(#REF!="","",IF(AND($CE87&gt;0,#REF!="SYRAH N"),#REF!,0))</f>
        <v>#REF!</v>
      </c>
      <c r="CH87" s="7" t="e">
        <f>IF(#REF!="","",IF(AND($CE87&gt;0,#REF!="CINSAUT N"),#REF!,0))</f>
        <v>#REF!</v>
      </c>
      <c r="CI87" s="7" t="e">
        <f>IF(#REF!="","",IF(AND($CE87&gt;0,#REF!="TIBOUREN N"),#REF!,0))</f>
        <v>#REF!</v>
      </c>
      <c r="CJ87" s="7" t="e">
        <f>IF(#REF!="","",IF(AND($CE87&gt;0,#REF!="MOURVEDRE N"),#REF!,0))</f>
        <v>#REF!</v>
      </c>
      <c r="CK87" s="7" t="e">
        <f>IF(#REF!="","",IF(AND($CE87&gt;0,#REF!="CARIGNAN N"),#REF!,0))</f>
        <v>#REF!</v>
      </c>
      <c r="CL87" s="7" t="e">
        <f>IF(#REF!="","",IF(AND($CE87&gt;0,#REF!="CABERNET SAUVIGNON N"),#REF!,0))</f>
        <v>#REF!</v>
      </c>
      <c r="CM87" s="7" t="e">
        <f>IF(#REF!="","",IF(AND($CE87&gt;0,#REF!="VERMENTINO B"),#REF!,0))</f>
        <v>#REF!</v>
      </c>
      <c r="CN87" s="7" t="e">
        <f>IF(#REF!="","",IF(AND($CE87&gt;0,#REF!="UGNI BLANC B"),#REF!,0))</f>
        <v>#REF!</v>
      </c>
      <c r="CO87" s="7" t="e">
        <f>IF(#REF!="","",IF(AND($CE87&gt;0,#REF!="CLAIRETTE B"),#REF!,0))</f>
        <v>#REF!</v>
      </c>
      <c r="CP87" s="7" t="e">
        <f>IF(#REF!="","",IF(AND($CE87&gt;0,#REF!="semillon B"),#REF!,0))</f>
        <v>#REF!</v>
      </c>
      <c r="CQ87" s="7" t="e">
        <f>IF(#REF!="","",IF(CE87=0,CC87,0))</f>
        <v>#REF!</v>
      </c>
      <c r="CR87" s="17"/>
      <c r="DE87"/>
    </row>
    <row r="88" spans="56:122" x14ac:dyDescent="0.25">
      <c r="BM88" s="23"/>
      <c r="BZ88" s="23" t="s">
        <v>89</v>
      </c>
      <c r="CA88" s="1"/>
      <c r="CB88" s="2">
        <f>IF(BR42=0,0,IF(BR42&gt;CB87,CB87,BR42))</f>
        <v>0</v>
      </c>
      <c r="CC88" s="7" t="e">
        <f>IF(#REF!="","",IF(#REF!="PF",#REF!,0))</f>
        <v>#REF!</v>
      </c>
      <c r="CD88" s="7" t="e">
        <f>IF(#REF!="","",IF(#REF!="PF",IF((#REF!+4)&lt;YEAR(#REF!),0,#REF!),0))</f>
        <v>#REF!</v>
      </c>
      <c r="CE88" s="7" t="e">
        <f>IF(#REF!="","",IF(AND(CD88&gt;0,#REF!&lt;&gt;""),CC88,0))</f>
        <v>#REF!</v>
      </c>
      <c r="CF88" s="7" t="e">
        <f>IF(#REF!="","",IF(AND($CE88&gt;0,#REF!= "GRENACHE N"),#REF!,0))</f>
        <v>#REF!</v>
      </c>
      <c r="CG88" s="7" t="e">
        <f>IF(#REF!="","",IF(AND($CE88&gt;0,#REF!="SYRAH N"),#REF!,0))</f>
        <v>#REF!</v>
      </c>
      <c r="CH88" s="7" t="e">
        <f>IF(#REF!="","",IF(AND($CE88&gt;0,#REF!="CINSAUT N"),#REF!,0))</f>
        <v>#REF!</v>
      </c>
      <c r="CI88" s="7" t="e">
        <f>IF(#REF!="","",IF(AND($CE88&gt;0,#REF!="TIBOUREN N"),#REF!,0))</f>
        <v>#REF!</v>
      </c>
      <c r="CJ88" s="7" t="e">
        <f>IF(#REF!="","",IF(AND($CE88&gt;0,#REF!="MOURVEDRE N"),#REF!,0))</f>
        <v>#REF!</v>
      </c>
      <c r="CK88" s="7" t="e">
        <f>IF(#REF!="","",IF(AND($CE88&gt;0,#REF!="CARIGNAN N"),#REF!,0))</f>
        <v>#REF!</v>
      </c>
      <c r="CL88" s="7" t="e">
        <f>IF(#REF!="","",IF(AND($CE88&gt;0,#REF!="CABERNET SAUVIGNON N"),#REF!,0))</f>
        <v>#REF!</v>
      </c>
      <c r="CM88" s="7" t="e">
        <f>IF(#REF!="","",IF(AND($CE88&gt;0,#REF!="VERMENTINO B"),#REF!,0))</f>
        <v>#REF!</v>
      </c>
      <c r="CN88" s="7" t="e">
        <f>IF(#REF!="","",IF(AND($CE88&gt;0,#REF!="UGNI BLANC B"),#REF!,0))</f>
        <v>#REF!</v>
      </c>
      <c r="CO88" s="7" t="e">
        <f>IF(#REF!="","",IF(AND($CE88&gt;0,#REF!="CLAIRETTE B"),#REF!,0))</f>
        <v>#REF!</v>
      </c>
      <c r="CP88" s="7" t="e">
        <f>IF(#REF!="","",IF(AND($CE88&gt;0,#REF!="semillon B"),#REF!,0))</f>
        <v>#REF!</v>
      </c>
      <c r="CQ88" s="7" t="e">
        <f>IF(#REF!="","",IF(CE88=0,CC88,0))</f>
        <v>#REF!</v>
      </c>
      <c r="CR88" s="17"/>
      <c r="DE88"/>
    </row>
    <row r="89" spans="56:122" x14ac:dyDescent="0.25">
      <c r="BM89" s="23"/>
      <c r="BZ89" s="23" t="s">
        <v>92</v>
      </c>
      <c r="CB89" s="2">
        <f>CB88+CB86</f>
        <v>0</v>
      </c>
      <c r="CC89" s="7" t="e">
        <f>IF(#REF!="","",IF(#REF!="PF",#REF!,0))</f>
        <v>#REF!</v>
      </c>
      <c r="CD89" s="7" t="e">
        <f>IF(#REF!="","",IF(#REF!="PF",IF((#REF!+4)&lt;YEAR(#REF!),0,#REF!),0))</f>
        <v>#REF!</v>
      </c>
      <c r="CE89" s="7" t="e">
        <f>IF(#REF!="","",IF(AND(CD89&gt;0,#REF!&lt;&gt;""),CC89,0))</f>
        <v>#REF!</v>
      </c>
      <c r="CF89" s="7" t="e">
        <f>IF(#REF!="","",IF(AND($CE89&gt;0,#REF!= "GRENACHE N"),#REF!,0))</f>
        <v>#REF!</v>
      </c>
      <c r="CG89" s="7" t="e">
        <f>IF(#REF!="","",IF(AND($CE89&gt;0,#REF!="SYRAH N"),#REF!,0))</f>
        <v>#REF!</v>
      </c>
      <c r="CH89" s="7" t="e">
        <f>IF(#REF!="","",IF(AND($CE89&gt;0,#REF!="CINSAUT N"),#REF!,0))</f>
        <v>#REF!</v>
      </c>
      <c r="CI89" s="7" t="e">
        <f>IF(#REF!="","",IF(AND($CE89&gt;0,#REF!="TIBOUREN N"),#REF!,0))</f>
        <v>#REF!</v>
      </c>
      <c r="CJ89" s="7" t="e">
        <f>IF(#REF!="","",IF(AND($CE89&gt;0,#REF!="MOURVEDRE N"),#REF!,0))</f>
        <v>#REF!</v>
      </c>
      <c r="CK89" s="7" t="e">
        <f>IF(#REF!="","",IF(AND($CE89&gt;0,#REF!="CARIGNAN N"),#REF!,0))</f>
        <v>#REF!</v>
      </c>
      <c r="CL89" s="7" t="e">
        <f>IF(#REF!="","",IF(AND($CE89&gt;0,#REF!="CABERNET SAUVIGNON N"),#REF!,0))</f>
        <v>#REF!</v>
      </c>
      <c r="CM89" s="7" t="e">
        <f>IF(#REF!="","",IF(AND($CE89&gt;0,#REF!="VERMENTINO B"),#REF!,0))</f>
        <v>#REF!</v>
      </c>
      <c r="CN89" s="7" t="e">
        <f>IF(#REF!="","",IF(AND($CE89&gt;0,#REF!="UGNI BLANC B"),#REF!,0))</f>
        <v>#REF!</v>
      </c>
      <c r="CO89" s="7" t="e">
        <f>IF(#REF!="","",IF(AND($CE89&gt;0,#REF!="CLAIRETTE B"),#REF!,0))</f>
        <v>#REF!</v>
      </c>
      <c r="CP89" s="7" t="e">
        <f>IF(#REF!="","",IF(AND($CE89&gt;0,#REF!="semillon B"),#REF!,0))</f>
        <v>#REF!</v>
      </c>
      <c r="CQ89" s="7" t="e">
        <f>IF(#REF!="","",IF(CE89=0,CC89,0))</f>
        <v>#REF!</v>
      </c>
      <c r="CR89" s="17"/>
      <c r="DE89"/>
    </row>
    <row r="90" spans="56:122" x14ac:dyDescent="0.25">
      <c r="BM90" s="23"/>
      <c r="BZ90" s="23" t="s">
        <v>78</v>
      </c>
      <c r="CB90" s="2">
        <f>BW37+BW41+CB89</f>
        <v>150</v>
      </c>
      <c r="CC90" s="7" t="e">
        <f>IF(#REF!="","",IF(#REF!="PF",#REF!,0))</f>
        <v>#REF!</v>
      </c>
      <c r="CD90" s="7" t="e">
        <f>IF(#REF!="","",IF(#REF!="PF",IF((#REF!+4)&lt;YEAR(#REF!),0,#REF!),0))</f>
        <v>#REF!</v>
      </c>
      <c r="CE90" s="7" t="e">
        <f>IF(#REF!="","",IF(AND(CD90&gt;0,#REF!&lt;&gt;""),CC90,0))</f>
        <v>#REF!</v>
      </c>
      <c r="CF90" s="7" t="e">
        <f>IF(#REF!="","",IF(AND($CE90&gt;0,#REF!= "GRENACHE N"),#REF!,0))</f>
        <v>#REF!</v>
      </c>
      <c r="CG90" s="7" t="e">
        <f>IF(#REF!="","",IF(AND($CE90&gt;0,#REF!="SYRAH N"),#REF!,0))</f>
        <v>#REF!</v>
      </c>
      <c r="CH90" s="7" t="e">
        <f>IF(#REF!="","",IF(AND($CE90&gt;0,#REF!="CINSAUT N"),#REF!,0))</f>
        <v>#REF!</v>
      </c>
      <c r="CI90" s="7" t="e">
        <f>IF(#REF!="","",IF(AND($CE90&gt;0,#REF!="TIBOUREN N"),#REF!,0))</f>
        <v>#REF!</v>
      </c>
      <c r="CJ90" s="7" t="e">
        <f>IF(#REF!="","",IF(AND($CE90&gt;0,#REF!="MOURVEDRE N"),#REF!,0))</f>
        <v>#REF!</v>
      </c>
      <c r="CK90" s="7" t="e">
        <f>IF(#REF!="","",IF(AND($CE90&gt;0,#REF!="CARIGNAN N"),#REF!,0))</f>
        <v>#REF!</v>
      </c>
      <c r="CL90" s="7" t="e">
        <f>IF(#REF!="","",IF(AND($CE90&gt;0,#REF!="CABERNET SAUVIGNON N"),#REF!,0))</f>
        <v>#REF!</v>
      </c>
      <c r="CM90" s="7" t="e">
        <f>IF(#REF!="","",IF(AND($CE90&gt;0,#REF!="VERMENTINO B"),#REF!,0))</f>
        <v>#REF!</v>
      </c>
      <c r="CN90" s="7" t="e">
        <f>IF(#REF!="","",IF(AND($CE90&gt;0,#REF!="UGNI BLANC B"),#REF!,0))</f>
        <v>#REF!</v>
      </c>
      <c r="CO90" s="7" t="e">
        <f>IF(#REF!="","",IF(AND($CE90&gt;0,#REF!="CLAIRETTE B"),#REF!,0))</f>
        <v>#REF!</v>
      </c>
      <c r="CP90" s="7" t="e">
        <f>IF(#REF!="","",IF(AND($CE90&gt;0,#REF!="semillon B"),#REF!,0))</f>
        <v>#REF!</v>
      </c>
      <c r="CQ90" s="7" t="e">
        <f>IF(#REF!="","",IF(CE90=0,CC90,0))</f>
        <v>#REF!</v>
      </c>
      <c r="CR90" s="17"/>
      <c r="DE90"/>
    </row>
    <row r="91" spans="56:122" x14ac:dyDescent="0.25">
      <c r="BM91" s="23"/>
      <c r="BZ91" s="23"/>
      <c r="CC91" s="7" t="e">
        <f>IF(#REF!="","",IF(#REF!="PF",#REF!,0))</f>
        <v>#REF!</v>
      </c>
      <c r="CD91" s="7" t="e">
        <f>IF(#REF!="","",IF(#REF!="PF",IF((#REF!+4)&lt;YEAR(#REF!),0,#REF!),0))</f>
        <v>#REF!</v>
      </c>
      <c r="CE91" s="7" t="e">
        <f>IF(#REF!="","",IF(AND(CD91&gt;0,#REF!&lt;&gt;""),CC91,0))</f>
        <v>#REF!</v>
      </c>
      <c r="CF91" s="7" t="e">
        <f>IF(#REF!="","",IF(AND($CE91&gt;0,#REF!= "GRENACHE N"),#REF!,0))</f>
        <v>#REF!</v>
      </c>
      <c r="CG91" s="7" t="e">
        <f>IF(#REF!="","",IF(AND($CE91&gt;0,#REF!="SYRAH N"),#REF!,0))</f>
        <v>#REF!</v>
      </c>
      <c r="CH91" s="7" t="e">
        <f>IF(#REF!="","",IF(AND($CE91&gt;0,#REF!="CINSAUT N"),#REF!,0))</f>
        <v>#REF!</v>
      </c>
      <c r="CI91" s="7" t="e">
        <f>IF(#REF!="","",IF(AND($CE91&gt;0,#REF!="TIBOUREN N"),#REF!,0))</f>
        <v>#REF!</v>
      </c>
      <c r="CJ91" s="7" t="e">
        <f>IF(#REF!="","",IF(AND($CE91&gt;0,#REF!="MOURVEDRE N"),#REF!,0))</f>
        <v>#REF!</v>
      </c>
      <c r="CK91" s="7" t="e">
        <f>IF(#REF!="","",IF(AND($CE91&gt;0,#REF!="CARIGNAN N"),#REF!,0))</f>
        <v>#REF!</v>
      </c>
      <c r="CL91" s="7" t="e">
        <f>IF(#REF!="","",IF(AND($CE91&gt;0,#REF!="CABERNET SAUVIGNON N"),#REF!,0))</f>
        <v>#REF!</v>
      </c>
      <c r="CM91" s="7" t="e">
        <f>IF(#REF!="","",IF(AND($CE91&gt;0,#REF!="VERMENTINO B"),#REF!,0))</f>
        <v>#REF!</v>
      </c>
      <c r="CN91" s="7" t="e">
        <f>IF(#REF!="","",IF(AND($CE91&gt;0,#REF!="UGNI BLANC B"),#REF!,0))</f>
        <v>#REF!</v>
      </c>
      <c r="CO91" s="7" t="e">
        <f>IF(#REF!="","",IF(AND($CE91&gt;0,#REF!="CLAIRETTE B"),#REF!,0))</f>
        <v>#REF!</v>
      </c>
      <c r="CP91" s="7" t="e">
        <f>IF(#REF!="","",IF(AND($CE91&gt;0,#REF!="semillon B"),#REF!,0))</f>
        <v>#REF!</v>
      </c>
      <c r="CQ91" s="7" t="e">
        <f>IF(#REF!="","",IF(CE91=0,CC91,0))</f>
        <v>#REF!</v>
      </c>
      <c r="CR91" s="17"/>
      <c r="DE91"/>
    </row>
    <row r="92" spans="56:122" x14ac:dyDescent="0.25">
      <c r="BM92" s="23"/>
      <c r="BZ92" s="23" t="s">
        <v>95</v>
      </c>
      <c r="CB92" s="2">
        <f>0.1*CB90</f>
        <v>15</v>
      </c>
      <c r="CC92" s="7" t="e">
        <f>IF(#REF!="","",IF(#REF!="PF",#REF!,0))</f>
        <v>#REF!</v>
      </c>
      <c r="CD92" s="7" t="e">
        <f>IF(#REF!="","",IF(#REF!="PF",IF((#REF!+4)&lt;YEAR(#REF!),0,#REF!),0))</f>
        <v>#REF!</v>
      </c>
      <c r="CE92" s="7" t="e">
        <f>IF(#REF!="","",IF(AND(CD92&gt;0,#REF!&lt;&gt;""),CC92,0))</f>
        <v>#REF!</v>
      </c>
      <c r="CF92" s="7" t="e">
        <f>IF(#REF!="","",IF(AND($CE92&gt;0,#REF!= "GRENACHE N"),#REF!,0))</f>
        <v>#REF!</v>
      </c>
      <c r="CG92" s="7" t="e">
        <f>IF(#REF!="","",IF(AND($CE92&gt;0,#REF!="SYRAH N"),#REF!,0))</f>
        <v>#REF!</v>
      </c>
      <c r="CH92" s="7" t="e">
        <f>IF(#REF!="","",IF(AND($CE92&gt;0,#REF!="CINSAUT N"),#REF!,0))</f>
        <v>#REF!</v>
      </c>
      <c r="CI92" s="7" t="e">
        <f>IF(#REF!="","",IF(AND($CE92&gt;0,#REF!="TIBOUREN N"),#REF!,0))</f>
        <v>#REF!</v>
      </c>
      <c r="CJ92" s="7" t="e">
        <f>IF(#REF!="","",IF(AND($CE92&gt;0,#REF!="MOURVEDRE N"),#REF!,0))</f>
        <v>#REF!</v>
      </c>
      <c r="CK92" s="7" t="e">
        <f>IF(#REF!="","",IF(AND($CE92&gt;0,#REF!="CARIGNAN N"),#REF!,0))</f>
        <v>#REF!</v>
      </c>
      <c r="CL92" s="7" t="e">
        <f>IF(#REF!="","",IF(AND($CE92&gt;0,#REF!="CABERNET SAUVIGNON N"),#REF!,0))</f>
        <v>#REF!</v>
      </c>
      <c r="CM92" s="7" t="e">
        <f>IF(#REF!="","",IF(AND($CE92&gt;0,#REF!="VERMENTINO B"),#REF!,0))</f>
        <v>#REF!</v>
      </c>
      <c r="CN92" s="7" t="e">
        <f>IF(#REF!="","",IF(AND($CE92&gt;0,#REF!="UGNI BLANC B"),#REF!,0))</f>
        <v>#REF!</v>
      </c>
      <c r="CO92" s="7" t="e">
        <f>IF(#REF!="","",IF(AND($CE92&gt;0,#REF!="CLAIRETTE B"),#REF!,0))</f>
        <v>#REF!</v>
      </c>
      <c r="CP92" s="7" t="e">
        <f>IF(#REF!="","",IF(AND($CE92&gt;0,#REF!="semillon B"),#REF!,0))</f>
        <v>#REF!</v>
      </c>
      <c r="CQ92" s="7" t="e">
        <f>IF(#REF!="","",IF(CE92=0,CC92,0))</f>
        <v>#REF!</v>
      </c>
      <c r="CR92" s="17"/>
      <c r="DE92"/>
    </row>
    <row r="93" spans="56:122" x14ac:dyDescent="0.25">
      <c r="BM93" s="23"/>
      <c r="BZ93" s="23" t="s">
        <v>84</v>
      </c>
      <c r="CB93" s="12">
        <f>IF(CB92=0,0,IF(BR43+BR44+BR45&gt;CB92,CB92,BR43+BR44+BR45))</f>
        <v>0</v>
      </c>
      <c r="CC93" s="7" t="e">
        <f>IF(#REF!="","",IF(#REF!="PF",#REF!,0))</f>
        <v>#REF!</v>
      </c>
      <c r="CD93" s="7" t="e">
        <f>IF(#REF!="","",IF(#REF!="PF",IF((#REF!+4)&lt;YEAR(#REF!),0,#REF!),0))</f>
        <v>#REF!</v>
      </c>
      <c r="CE93" s="7" t="e">
        <f>IF(#REF!="","",IF(AND(CD93&gt;0,#REF!&lt;&gt;""),CC93,0))</f>
        <v>#REF!</v>
      </c>
      <c r="CF93" s="7" t="e">
        <f>IF(#REF!="","",IF(AND($CE93&gt;0,#REF!= "GRENACHE N"),#REF!,0))</f>
        <v>#REF!</v>
      </c>
      <c r="CG93" s="7" t="e">
        <f>IF(#REF!="","",IF(AND($CE93&gt;0,#REF!="SYRAH N"),#REF!,0))</f>
        <v>#REF!</v>
      </c>
      <c r="CH93" s="7" t="e">
        <f>IF(#REF!="","",IF(AND($CE93&gt;0,#REF!="CINSAUT N"),#REF!,0))</f>
        <v>#REF!</v>
      </c>
      <c r="CI93" s="7" t="e">
        <f>IF(#REF!="","",IF(AND($CE93&gt;0,#REF!="TIBOUREN N"),#REF!,0))</f>
        <v>#REF!</v>
      </c>
      <c r="CJ93" s="7" t="e">
        <f>IF(#REF!="","",IF(AND($CE93&gt;0,#REF!="MOURVEDRE N"),#REF!,0))</f>
        <v>#REF!</v>
      </c>
      <c r="CK93" s="7" t="e">
        <f>IF(#REF!="","",IF(AND($CE93&gt;0,#REF!="CARIGNAN N"),#REF!,0))</f>
        <v>#REF!</v>
      </c>
      <c r="CL93" s="7" t="e">
        <f>IF(#REF!="","",IF(AND($CE93&gt;0,#REF!="CABERNET SAUVIGNON N"),#REF!,0))</f>
        <v>#REF!</v>
      </c>
      <c r="CM93" s="7" t="e">
        <f>IF(#REF!="","",IF(AND($CE93&gt;0,#REF!="VERMENTINO B"),#REF!,0))</f>
        <v>#REF!</v>
      </c>
      <c r="CN93" s="7" t="e">
        <f>IF(#REF!="","",IF(AND($CE93&gt;0,#REF!="UGNI BLANC B"),#REF!,0))</f>
        <v>#REF!</v>
      </c>
      <c r="CO93" s="7" t="e">
        <f>IF(#REF!="","",IF(AND($CE93&gt;0,#REF!="CLAIRETTE B"),#REF!,0))</f>
        <v>#REF!</v>
      </c>
      <c r="CP93" s="7" t="e">
        <f>IF(#REF!="","",IF(AND($CE93&gt;0,#REF!="semillon B"),#REF!,0))</f>
        <v>#REF!</v>
      </c>
      <c r="CQ93" s="7" t="e">
        <f>IF(#REF!="","",IF(CE93=0,CC93,0))</f>
        <v>#REF!</v>
      </c>
      <c r="CR93" s="17"/>
      <c r="DE93"/>
    </row>
    <row r="94" spans="56:122" x14ac:dyDescent="0.25">
      <c r="BZ94" s="23"/>
      <c r="CC94" s="7" t="e">
        <f>IF(#REF!="","",IF(#REF!="PF",#REF!,0))</f>
        <v>#REF!</v>
      </c>
      <c r="CD94" s="7" t="e">
        <f>IF(#REF!="","",IF(#REF!="PF",IF((#REF!+4)&lt;YEAR(#REF!),0,#REF!),0))</f>
        <v>#REF!</v>
      </c>
      <c r="CE94" s="7" t="e">
        <f>IF(#REF!="","",IF(AND(CD94&gt;0,#REF!&lt;&gt;""),CC94,0))</f>
        <v>#REF!</v>
      </c>
      <c r="CF94" s="7" t="e">
        <f>IF(#REF!="","",IF(AND($CE94&gt;0,#REF!= "GRENACHE N"),#REF!,0))</f>
        <v>#REF!</v>
      </c>
      <c r="CG94" s="7" t="e">
        <f>IF(#REF!="","",IF(AND($CE94&gt;0,#REF!="SYRAH N"),#REF!,0))</f>
        <v>#REF!</v>
      </c>
      <c r="CH94" s="7" t="e">
        <f>IF(#REF!="","",IF(AND($CE94&gt;0,#REF!="CINSAUT N"),#REF!,0))</f>
        <v>#REF!</v>
      </c>
      <c r="CI94" s="7" t="e">
        <f>IF(#REF!="","",IF(AND($CE94&gt;0,#REF!="TIBOUREN N"),#REF!,0))</f>
        <v>#REF!</v>
      </c>
      <c r="CJ94" s="7" t="e">
        <f>IF(#REF!="","",IF(AND($CE94&gt;0,#REF!="MOURVEDRE N"),#REF!,0))</f>
        <v>#REF!</v>
      </c>
      <c r="CK94" s="7" t="e">
        <f>IF(#REF!="","",IF(AND($CE94&gt;0,#REF!="CARIGNAN N"),#REF!,0))</f>
        <v>#REF!</v>
      </c>
      <c r="CL94" s="7" t="e">
        <f>IF(#REF!="","",IF(AND($CE94&gt;0,#REF!="CABERNET SAUVIGNON N"),#REF!,0))</f>
        <v>#REF!</v>
      </c>
      <c r="CM94" s="7" t="e">
        <f>IF(#REF!="","",IF(AND($CE94&gt;0,#REF!="VERMENTINO B"),#REF!,0))</f>
        <v>#REF!</v>
      </c>
      <c r="CN94" s="7" t="e">
        <f>IF(#REF!="","",IF(AND($CE94&gt;0,#REF!="UGNI BLANC B"),#REF!,0))</f>
        <v>#REF!</v>
      </c>
      <c r="CO94" s="7" t="e">
        <f>IF(#REF!="","",IF(AND($CE94&gt;0,#REF!="CLAIRETTE B"),#REF!,0))</f>
        <v>#REF!</v>
      </c>
      <c r="CP94" s="7" t="e">
        <f>IF(#REF!="","",IF(AND($CE94&gt;0,#REF!="semillon B"),#REF!,0))</f>
        <v>#REF!</v>
      </c>
      <c r="CQ94" s="7" t="e">
        <f>IF(#REF!="","",IF(CE94=0,CC94,0))</f>
        <v>#REF!</v>
      </c>
      <c r="CR94" s="17"/>
      <c r="DE94"/>
    </row>
    <row r="95" spans="56:122" x14ac:dyDescent="0.25">
      <c r="BZ95" s="23" t="s">
        <v>88</v>
      </c>
      <c r="CB95" s="2">
        <f>CB78-CB93</f>
        <v>0</v>
      </c>
      <c r="CC95" s="7" t="e">
        <f>IF(#REF!="","",IF(#REF!="PF",#REF!,0))</f>
        <v>#REF!</v>
      </c>
      <c r="CD95" s="7" t="e">
        <f>IF(#REF!="","",IF(#REF!="PF",IF((#REF!+4)&lt;YEAR(#REF!),0,#REF!),0))</f>
        <v>#REF!</v>
      </c>
      <c r="CE95" s="7" t="e">
        <f>IF(#REF!="","",IF(AND(CD95&gt;0,#REF!&lt;&gt;""),CC95,0))</f>
        <v>#REF!</v>
      </c>
      <c r="CF95" s="7" t="e">
        <f>IF(#REF!="","",IF(AND($CE95&gt;0,#REF!= "GRENACHE N"),#REF!,0))</f>
        <v>#REF!</v>
      </c>
      <c r="CG95" s="7" t="e">
        <f>IF(#REF!="","",IF(AND($CE95&gt;0,#REF!="SYRAH N"),#REF!,0))</f>
        <v>#REF!</v>
      </c>
      <c r="CH95" s="7" t="e">
        <f>IF(#REF!="","",IF(AND($CE95&gt;0,#REF!="CINSAUT N"),#REF!,0))</f>
        <v>#REF!</v>
      </c>
      <c r="CI95" s="7" t="e">
        <f>IF(#REF!="","",IF(AND($CE95&gt;0,#REF!="TIBOUREN N"),#REF!,0))</f>
        <v>#REF!</v>
      </c>
      <c r="CJ95" s="7" t="e">
        <f>IF(#REF!="","",IF(AND($CE95&gt;0,#REF!="MOURVEDRE N"),#REF!,0))</f>
        <v>#REF!</v>
      </c>
      <c r="CK95" s="7" t="e">
        <f>IF(#REF!="","",IF(AND($CE95&gt;0,#REF!="CARIGNAN N"),#REF!,0))</f>
        <v>#REF!</v>
      </c>
      <c r="CL95" s="7" t="e">
        <f>IF(#REF!="","",IF(AND($CE95&gt;0,#REF!="CABERNET SAUVIGNON N"),#REF!,0))</f>
        <v>#REF!</v>
      </c>
      <c r="CM95" s="7" t="e">
        <f>IF(#REF!="","",IF(AND($CE95&gt;0,#REF!="VERMENTINO B"),#REF!,0))</f>
        <v>#REF!</v>
      </c>
      <c r="CN95" s="7" t="e">
        <f>IF(#REF!="","",IF(AND($CE95&gt;0,#REF!="UGNI BLANC B"),#REF!,0))</f>
        <v>#REF!</v>
      </c>
      <c r="CO95" s="7" t="e">
        <f>IF(#REF!="","",IF(AND($CE95&gt;0,#REF!="CLAIRETTE B"),#REF!,0))</f>
        <v>#REF!</v>
      </c>
      <c r="CP95" s="7" t="e">
        <f>IF(#REF!="","",IF(AND($CE95&gt;0,#REF!="semillon B"),#REF!,0))</f>
        <v>#REF!</v>
      </c>
      <c r="CQ95" s="7" t="e">
        <f>IF(#REF!="","",IF(CE95=0,CC95,0))</f>
        <v>#REF!</v>
      </c>
      <c r="CR95" s="17"/>
      <c r="DE95"/>
    </row>
    <row r="96" spans="56:122" x14ac:dyDescent="0.25">
      <c r="BZ96" s="23" t="s">
        <v>89</v>
      </c>
      <c r="CB96" s="2">
        <f>IF(BR42=0,0,IF(BR42&gt;CB95,CB95,BR42))</f>
        <v>0</v>
      </c>
      <c r="CC96" s="7" t="e">
        <f>IF(#REF!="","",IF(#REF!="PF",#REF!,0))</f>
        <v>#REF!</v>
      </c>
      <c r="CD96" s="7" t="e">
        <f>IF(#REF!="","",IF(#REF!="PF",IF((#REF!+4)&lt;YEAR(#REF!),0,#REF!),0))</f>
        <v>#REF!</v>
      </c>
      <c r="CE96" s="7" t="e">
        <f>IF(#REF!="","",IF(AND(CD96&gt;0,#REF!&lt;&gt;""),CC96,0))</f>
        <v>#REF!</v>
      </c>
      <c r="CF96" s="7" t="e">
        <f>IF(#REF!="","",IF(AND($CE96&gt;0,#REF!= "GRENACHE N"),#REF!,0))</f>
        <v>#REF!</v>
      </c>
      <c r="CG96" s="7" t="e">
        <f>IF(#REF!="","",IF(AND($CE96&gt;0,#REF!="SYRAH N"),#REF!,0))</f>
        <v>#REF!</v>
      </c>
      <c r="CH96" s="7" t="e">
        <f>IF(#REF!="","",IF(AND($CE96&gt;0,#REF!="CINSAUT N"),#REF!,0))</f>
        <v>#REF!</v>
      </c>
      <c r="CI96" s="7" t="e">
        <f>IF(#REF!="","",IF(AND($CE96&gt;0,#REF!="TIBOUREN N"),#REF!,0))</f>
        <v>#REF!</v>
      </c>
      <c r="CJ96" s="7" t="e">
        <f>IF(#REF!="","",IF(AND($CE96&gt;0,#REF!="MOURVEDRE N"),#REF!,0))</f>
        <v>#REF!</v>
      </c>
      <c r="CK96" s="7" t="e">
        <f>IF(#REF!="","",IF(AND($CE96&gt;0,#REF!="CARIGNAN N"),#REF!,0))</f>
        <v>#REF!</v>
      </c>
      <c r="CL96" s="7" t="e">
        <f>IF(#REF!="","",IF(AND($CE96&gt;0,#REF!="CABERNET SAUVIGNON N"),#REF!,0))</f>
        <v>#REF!</v>
      </c>
      <c r="CM96" s="7" t="e">
        <f>IF(#REF!="","",IF(AND($CE96&gt;0,#REF!="VERMENTINO B"),#REF!,0))</f>
        <v>#REF!</v>
      </c>
      <c r="CN96" s="7" t="e">
        <f>IF(#REF!="","",IF(AND($CE96&gt;0,#REF!="UGNI BLANC B"),#REF!,0))</f>
        <v>#REF!</v>
      </c>
      <c r="CO96" s="7" t="e">
        <f>IF(#REF!="","",IF(AND($CE96&gt;0,#REF!="CLAIRETTE B"),#REF!,0))</f>
        <v>#REF!</v>
      </c>
      <c r="CP96" s="7" t="e">
        <f>IF(#REF!="","",IF(AND($CE96&gt;0,#REF!="semillon B"),#REF!,0))</f>
        <v>#REF!</v>
      </c>
      <c r="CQ96" s="7" t="e">
        <f>IF(#REF!="","",IF(CE96=0,CC96,0))</f>
        <v>#REF!</v>
      </c>
      <c r="CR96" s="17"/>
      <c r="DE96"/>
    </row>
    <row r="97" spans="78:109" x14ac:dyDescent="0.25">
      <c r="BZ97" s="23" t="s">
        <v>92</v>
      </c>
      <c r="CB97" s="12">
        <f>CB96+CB93</f>
        <v>0</v>
      </c>
      <c r="CC97" s="7" t="e">
        <f>IF(#REF!="","",IF(#REF!="PF",#REF!,0))</f>
        <v>#REF!</v>
      </c>
      <c r="CD97" s="7" t="e">
        <f>IF(#REF!="","",IF(#REF!="PF",IF((#REF!+4)&lt;YEAR(#REF!),0,#REF!),0))</f>
        <v>#REF!</v>
      </c>
      <c r="CE97" s="7" t="e">
        <f>IF(#REF!="","",IF(AND(CD97&gt;0,#REF!&lt;&gt;""),CC97,0))</f>
        <v>#REF!</v>
      </c>
      <c r="CF97" s="7" t="e">
        <f>IF(#REF!="","",IF(AND($CE97&gt;0,#REF!= "GRENACHE N"),#REF!,0))</f>
        <v>#REF!</v>
      </c>
      <c r="CG97" s="7" t="e">
        <f>IF(#REF!="","",IF(AND($CE97&gt;0,#REF!="SYRAH N"),#REF!,0))</f>
        <v>#REF!</v>
      </c>
      <c r="CH97" s="7" t="e">
        <f>IF(#REF!="","",IF(AND($CE97&gt;0,#REF!="CINSAUT N"),#REF!,0))</f>
        <v>#REF!</v>
      </c>
      <c r="CI97" s="7" t="e">
        <f>IF(#REF!="","",IF(AND($CE97&gt;0,#REF!="TIBOUREN N"),#REF!,0))</f>
        <v>#REF!</v>
      </c>
      <c r="CJ97" s="7" t="e">
        <f>IF(#REF!="","",IF(AND($CE97&gt;0,#REF!="MOURVEDRE N"),#REF!,0))</f>
        <v>#REF!</v>
      </c>
      <c r="CK97" s="7" t="e">
        <f>IF(#REF!="","",IF(AND($CE97&gt;0,#REF!="CARIGNAN N"),#REF!,0))</f>
        <v>#REF!</v>
      </c>
      <c r="CL97" s="7" t="e">
        <f>IF(#REF!="","",IF(AND($CE97&gt;0,#REF!="CABERNET SAUVIGNON N"),#REF!,0))</f>
        <v>#REF!</v>
      </c>
      <c r="CM97" s="7" t="e">
        <f>IF(#REF!="","",IF(AND($CE97&gt;0,#REF!="VERMENTINO B"),#REF!,0))</f>
        <v>#REF!</v>
      </c>
      <c r="CN97" s="7" t="e">
        <f>IF(#REF!="","",IF(AND($CE97&gt;0,#REF!="UGNI BLANC B"),#REF!,0))</f>
        <v>#REF!</v>
      </c>
      <c r="CO97" s="7" t="e">
        <f>IF(#REF!="","",IF(AND($CE97&gt;0,#REF!="CLAIRETTE B"),#REF!,0))</f>
        <v>#REF!</v>
      </c>
      <c r="CP97" s="7" t="e">
        <f>IF(#REF!="","",IF(AND($CE97&gt;0,#REF!="semillon B"),#REF!,0))</f>
        <v>#REF!</v>
      </c>
      <c r="CQ97" s="7" t="e">
        <f>IF(#REF!="","",IF(CE97=0,CC97,0))</f>
        <v>#REF!</v>
      </c>
      <c r="CR97" s="17"/>
      <c r="DE97"/>
    </row>
    <row r="98" spans="78:109" x14ac:dyDescent="0.25">
      <c r="CC98" s="7" t="e">
        <f>IF(#REF!="","",IF(#REF!="PF",#REF!,0))</f>
        <v>#REF!</v>
      </c>
      <c r="CD98" s="7" t="e">
        <f>IF(#REF!="","",IF(#REF!="PF",IF((#REF!+4)&lt;YEAR(#REF!),0,#REF!),0))</f>
        <v>#REF!</v>
      </c>
      <c r="CE98" s="7" t="e">
        <f>IF(#REF!="","",IF(AND(CD98&gt;0,#REF!&lt;&gt;""),CC98,0))</f>
        <v>#REF!</v>
      </c>
      <c r="CF98" s="7" t="e">
        <f>IF(#REF!="","",IF(AND($CE98&gt;0,#REF!= "GRENACHE N"),#REF!,0))</f>
        <v>#REF!</v>
      </c>
      <c r="CG98" s="7" t="e">
        <f>IF(#REF!="","",IF(AND($CE98&gt;0,#REF!="SYRAH N"),#REF!,0))</f>
        <v>#REF!</v>
      </c>
      <c r="CH98" s="7" t="e">
        <f>IF(#REF!="","",IF(AND($CE98&gt;0,#REF!="CINSAUT N"),#REF!,0))</f>
        <v>#REF!</v>
      </c>
      <c r="CI98" s="7" t="e">
        <f>IF(#REF!="","",IF(AND($CE98&gt;0,#REF!="TIBOUREN N"),#REF!,0))</f>
        <v>#REF!</v>
      </c>
      <c r="CJ98" s="7" t="e">
        <f>IF(#REF!="","",IF(AND($CE98&gt;0,#REF!="MOURVEDRE N"),#REF!,0))</f>
        <v>#REF!</v>
      </c>
      <c r="CK98" s="7" t="e">
        <f>IF(#REF!="","",IF(AND($CE98&gt;0,#REF!="CARIGNAN N"),#REF!,0))</f>
        <v>#REF!</v>
      </c>
      <c r="CL98" s="7" t="e">
        <f>IF(#REF!="","",IF(AND($CE98&gt;0,#REF!="CABERNET SAUVIGNON N"),#REF!,0))</f>
        <v>#REF!</v>
      </c>
      <c r="CM98" s="7" t="e">
        <f>IF(#REF!="","",IF(AND($CE98&gt;0,#REF!="VERMENTINO B"),#REF!,0))</f>
        <v>#REF!</v>
      </c>
      <c r="CN98" s="7" t="e">
        <f>IF(#REF!="","",IF(AND($CE98&gt;0,#REF!="UGNI BLANC B"),#REF!,0))</f>
        <v>#REF!</v>
      </c>
      <c r="CO98" s="7" t="e">
        <f>IF(#REF!="","",IF(AND($CE98&gt;0,#REF!="CLAIRETTE B"),#REF!,0))</f>
        <v>#REF!</v>
      </c>
      <c r="CP98" s="7" t="e">
        <f>IF(#REF!="","",IF(AND($CE98&gt;0,#REF!="semillon B"),#REF!,0))</f>
        <v>#REF!</v>
      </c>
      <c r="CQ98" s="7" t="e">
        <f>IF(#REF!="","",IF(CE98=0,CC98,0))</f>
        <v>#REF!</v>
      </c>
      <c r="CR98" s="17"/>
      <c r="DE98"/>
    </row>
    <row r="99" spans="78:109" x14ac:dyDescent="0.25">
      <c r="CC99" s="7" t="e">
        <f>IF(#REF!="","",IF(#REF!="PF",#REF!,0))</f>
        <v>#REF!</v>
      </c>
      <c r="CD99" s="7" t="e">
        <f>IF(#REF!="","",IF(#REF!="PF",IF((#REF!+4)&lt;YEAR(#REF!),0,#REF!),0))</f>
        <v>#REF!</v>
      </c>
      <c r="CE99" s="7" t="e">
        <f>IF(#REF!="","",IF(AND(CD99&gt;0,#REF!&lt;&gt;""),CC99,0))</f>
        <v>#REF!</v>
      </c>
      <c r="CF99" s="7" t="e">
        <f>IF(#REF!="","",IF(AND($CE99&gt;0,#REF!= "GRENACHE N"),#REF!,0))</f>
        <v>#REF!</v>
      </c>
      <c r="CG99" s="7" t="e">
        <f>IF(#REF!="","",IF(AND($CE99&gt;0,#REF!="SYRAH N"),#REF!,0))</f>
        <v>#REF!</v>
      </c>
      <c r="CH99" s="7" t="e">
        <f>IF(#REF!="","",IF(AND($CE99&gt;0,#REF!="CINSAUT N"),#REF!,0))</f>
        <v>#REF!</v>
      </c>
      <c r="CI99" s="7" t="e">
        <f>IF(#REF!="","",IF(AND($CE99&gt;0,#REF!="TIBOUREN N"),#REF!,0))</f>
        <v>#REF!</v>
      </c>
      <c r="CJ99" s="7" t="e">
        <f>IF(#REF!="","",IF(AND($CE99&gt;0,#REF!="MOURVEDRE N"),#REF!,0))</f>
        <v>#REF!</v>
      </c>
      <c r="CK99" s="7" t="e">
        <f>IF(#REF!="","",IF(AND($CE99&gt;0,#REF!="CARIGNAN N"),#REF!,0))</f>
        <v>#REF!</v>
      </c>
      <c r="CL99" s="7" t="e">
        <f>IF(#REF!="","",IF(AND($CE99&gt;0,#REF!="CABERNET SAUVIGNON N"),#REF!,0))</f>
        <v>#REF!</v>
      </c>
      <c r="CM99" s="7" t="e">
        <f>IF(#REF!="","",IF(AND($CE99&gt;0,#REF!="VERMENTINO B"),#REF!,0))</f>
        <v>#REF!</v>
      </c>
      <c r="CN99" s="7" t="e">
        <f>IF(#REF!="","",IF(AND($CE99&gt;0,#REF!="UGNI BLANC B"),#REF!,0))</f>
        <v>#REF!</v>
      </c>
      <c r="CO99" s="7" t="e">
        <f>IF(#REF!="","",IF(AND($CE99&gt;0,#REF!="CLAIRETTE B"),#REF!,0))</f>
        <v>#REF!</v>
      </c>
      <c r="CP99" s="7" t="e">
        <f>IF(#REF!="","",IF(AND($CE99&gt;0,#REF!="semillon B"),#REF!,0))</f>
        <v>#REF!</v>
      </c>
      <c r="CQ99" s="7" t="e">
        <f>IF(#REF!="","",IF(CE99=0,CC99,0))</f>
        <v>#REF!</v>
      </c>
      <c r="CR99" s="17"/>
      <c r="DE99"/>
    </row>
    <row r="100" spans="78:109" x14ac:dyDescent="0.25">
      <c r="CC100" s="7" t="e">
        <f>IF(#REF!="","",IF(#REF!="PF",#REF!,0))</f>
        <v>#REF!</v>
      </c>
      <c r="CD100" s="7" t="e">
        <f>IF(#REF!="","",IF(#REF!="PF",IF((#REF!+4)&lt;YEAR(#REF!),0,#REF!),0))</f>
        <v>#REF!</v>
      </c>
      <c r="CE100" s="7" t="e">
        <f>IF(#REF!="","",IF(AND(CD100&gt;0,#REF!&lt;&gt;""),CC100,0))</f>
        <v>#REF!</v>
      </c>
      <c r="CF100" s="7" t="e">
        <f>IF(#REF!="","",IF(AND($CE100&gt;0,#REF!= "GRENACHE N"),#REF!,0))</f>
        <v>#REF!</v>
      </c>
      <c r="CG100" s="7" t="e">
        <f>IF(#REF!="","",IF(AND($CE100&gt;0,#REF!="SYRAH N"),#REF!,0))</f>
        <v>#REF!</v>
      </c>
      <c r="CH100" s="7" t="e">
        <f>IF(#REF!="","",IF(AND($CE100&gt;0,#REF!="CINSAUT N"),#REF!,0))</f>
        <v>#REF!</v>
      </c>
      <c r="CI100" s="7" t="e">
        <f>IF(#REF!="","",IF(AND($CE100&gt;0,#REF!="TIBOUREN N"),#REF!,0))</f>
        <v>#REF!</v>
      </c>
      <c r="CJ100" s="7" t="e">
        <f>IF(#REF!="","",IF(AND($CE100&gt;0,#REF!="MOURVEDRE N"),#REF!,0))</f>
        <v>#REF!</v>
      </c>
      <c r="CK100" s="7" t="e">
        <f>IF(#REF!="","",IF(AND($CE100&gt;0,#REF!="CARIGNAN N"),#REF!,0))</f>
        <v>#REF!</v>
      </c>
      <c r="CL100" s="7" t="e">
        <f>IF(#REF!="","",IF(AND($CE100&gt;0,#REF!="CABERNET SAUVIGNON N"),#REF!,0))</f>
        <v>#REF!</v>
      </c>
      <c r="CM100" s="7" t="e">
        <f>IF(#REF!="","",IF(AND($CE100&gt;0,#REF!="VERMENTINO B"),#REF!,0))</f>
        <v>#REF!</v>
      </c>
      <c r="CN100" s="7" t="e">
        <f>IF(#REF!="","",IF(AND($CE100&gt;0,#REF!="UGNI BLANC B"),#REF!,0))</f>
        <v>#REF!</v>
      </c>
      <c r="CO100" s="7" t="e">
        <f>IF(#REF!="","",IF(AND($CE100&gt;0,#REF!="CLAIRETTE B"),#REF!,0))</f>
        <v>#REF!</v>
      </c>
      <c r="CP100" s="7" t="e">
        <f>IF(#REF!="","",IF(AND($CE100&gt;0,#REF!="semillon B"),#REF!,0))</f>
        <v>#REF!</v>
      </c>
      <c r="CQ100" s="7" t="e">
        <f>IF(#REF!="","",IF(CE100=0,CC100,0))</f>
        <v>#REF!</v>
      </c>
      <c r="CR100" s="17"/>
      <c r="DE100"/>
    </row>
    <row r="101" spans="78:109" x14ac:dyDescent="0.25">
      <c r="CC101" s="7" t="e">
        <f>IF(#REF!="","",IF(#REF!="PF",#REF!,0))</f>
        <v>#REF!</v>
      </c>
      <c r="CD101" s="7" t="e">
        <f>IF(#REF!="","",IF(#REF!="PF",IF((#REF!+4)&lt;YEAR(#REF!),0,#REF!),0))</f>
        <v>#REF!</v>
      </c>
      <c r="CE101" s="7" t="e">
        <f>IF(#REF!="","",IF(AND(CD101&gt;0,#REF!&lt;&gt;""),CC101,0))</f>
        <v>#REF!</v>
      </c>
      <c r="CF101" s="7" t="e">
        <f>IF(#REF!="","",IF(AND($CE101&gt;0,#REF!= "GRENACHE N"),#REF!,0))</f>
        <v>#REF!</v>
      </c>
      <c r="CG101" s="7" t="e">
        <f>IF(#REF!="","",IF(AND($CE101&gt;0,#REF!="SYRAH N"),#REF!,0))</f>
        <v>#REF!</v>
      </c>
      <c r="CH101" s="7" t="e">
        <f>IF(#REF!="","",IF(AND($CE101&gt;0,#REF!="CINSAUT N"),#REF!,0))</f>
        <v>#REF!</v>
      </c>
      <c r="CI101" s="7" t="e">
        <f>IF(#REF!="","",IF(AND($CE101&gt;0,#REF!="TIBOUREN N"),#REF!,0))</f>
        <v>#REF!</v>
      </c>
      <c r="CJ101" s="7" t="e">
        <f>IF(#REF!="","",IF(AND($CE101&gt;0,#REF!="MOURVEDRE N"),#REF!,0))</f>
        <v>#REF!</v>
      </c>
      <c r="CK101" s="7" t="e">
        <f>IF(#REF!="","",IF(AND($CE101&gt;0,#REF!="CARIGNAN N"),#REF!,0))</f>
        <v>#REF!</v>
      </c>
      <c r="CL101" s="7" t="e">
        <f>IF(#REF!="","",IF(AND($CE101&gt;0,#REF!="CABERNET SAUVIGNON N"),#REF!,0))</f>
        <v>#REF!</v>
      </c>
      <c r="CM101" s="7" t="e">
        <f>IF(#REF!="","",IF(AND($CE101&gt;0,#REF!="VERMENTINO B"),#REF!,0))</f>
        <v>#REF!</v>
      </c>
      <c r="CN101" s="7" t="e">
        <f>IF(#REF!="","",IF(AND($CE101&gt;0,#REF!="UGNI BLANC B"),#REF!,0))</f>
        <v>#REF!</v>
      </c>
      <c r="CO101" s="7" t="e">
        <f>IF(#REF!="","",IF(AND($CE101&gt;0,#REF!="CLAIRETTE B"),#REF!,0))</f>
        <v>#REF!</v>
      </c>
      <c r="CP101" s="7" t="e">
        <f>IF(#REF!="","",IF(AND($CE101&gt;0,#REF!="semillon B"),#REF!,0))</f>
        <v>#REF!</v>
      </c>
      <c r="CQ101" s="7" t="e">
        <f>IF(#REF!="","",IF(CE101=0,CC101,0))</f>
        <v>#REF!</v>
      </c>
      <c r="CR101" s="17"/>
      <c r="DE101"/>
    </row>
    <row r="102" spans="78:109" x14ac:dyDescent="0.25">
      <c r="CC102" s="7" t="e">
        <f>IF(#REF!="","",IF(#REF!="PF",#REF!,0))</f>
        <v>#REF!</v>
      </c>
      <c r="CD102" s="7" t="e">
        <f>IF(#REF!="","",IF(#REF!="PF",IF((#REF!+4)&lt;YEAR(#REF!),0,#REF!),0))</f>
        <v>#REF!</v>
      </c>
      <c r="CE102" s="7" t="e">
        <f>IF(#REF!="","",IF(AND(CD102&gt;0,#REF!&lt;&gt;""),CC102,0))</f>
        <v>#REF!</v>
      </c>
      <c r="CF102" s="7" t="e">
        <f>IF(#REF!="","",IF(AND($CE102&gt;0,#REF!= "GRENACHE N"),#REF!,0))</f>
        <v>#REF!</v>
      </c>
      <c r="CG102" s="7" t="e">
        <f>IF(#REF!="","",IF(AND($CE102&gt;0,#REF!="SYRAH N"),#REF!,0))</f>
        <v>#REF!</v>
      </c>
      <c r="CH102" s="7" t="e">
        <f>IF(#REF!="","",IF(AND($CE102&gt;0,#REF!="CINSAUT N"),#REF!,0))</f>
        <v>#REF!</v>
      </c>
      <c r="CI102" s="7" t="e">
        <f>IF(#REF!="","",IF(AND($CE102&gt;0,#REF!="TIBOUREN N"),#REF!,0))</f>
        <v>#REF!</v>
      </c>
      <c r="CJ102" s="7" t="e">
        <f>IF(#REF!="","",IF(AND($CE102&gt;0,#REF!="MOURVEDRE N"),#REF!,0))</f>
        <v>#REF!</v>
      </c>
      <c r="CK102" s="7" t="e">
        <f>IF(#REF!="","",IF(AND($CE102&gt;0,#REF!="CARIGNAN N"),#REF!,0))</f>
        <v>#REF!</v>
      </c>
      <c r="CL102" s="7" t="e">
        <f>IF(#REF!="","",IF(AND($CE102&gt;0,#REF!="CABERNET SAUVIGNON N"),#REF!,0))</f>
        <v>#REF!</v>
      </c>
      <c r="CM102" s="7" t="e">
        <f>IF(#REF!="","",IF(AND($CE102&gt;0,#REF!="VERMENTINO B"),#REF!,0))</f>
        <v>#REF!</v>
      </c>
      <c r="CN102" s="7" t="e">
        <f>IF(#REF!="","",IF(AND($CE102&gt;0,#REF!="UGNI BLANC B"),#REF!,0))</f>
        <v>#REF!</v>
      </c>
      <c r="CO102" s="7" t="e">
        <f>IF(#REF!="","",IF(AND($CE102&gt;0,#REF!="CLAIRETTE B"),#REF!,0))</f>
        <v>#REF!</v>
      </c>
      <c r="CP102" s="7" t="e">
        <f>IF(#REF!="","",IF(AND($CE102&gt;0,#REF!="semillon B"),#REF!,0))</f>
        <v>#REF!</v>
      </c>
      <c r="CQ102" s="7" t="e">
        <f>IF(#REF!="","",IF(CE102=0,CC102,0))</f>
        <v>#REF!</v>
      </c>
      <c r="CR102" s="17"/>
      <c r="DE102"/>
    </row>
    <row r="103" spans="78:109" x14ac:dyDescent="0.25">
      <c r="CC103" s="7" t="e">
        <f>IF(#REF!="","",IF(#REF!="PF",#REF!,0))</f>
        <v>#REF!</v>
      </c>
      <c r="CD103" s="7" t="e">
        <f>IF(#REF!="","",IF(#REF!="PF",IF((#REF!+4)&lt;YEAR(#REF!),0,#REF!),0))</f>
        <v>#REF!</v>
      </c>
      <c r="CE103" s="7" t="e">
        <f>IF(#REF!="","",IF(AND(CD103&gt;0,#REF!&lt;&gt;""),CC103,0))</f>
        <v>#REF!</v>
      </c>
      <c r="CF103" s="7" t="e">
        <f>IF(#REF!="","",IF(AND($CE103&gt;0,#REF!= "GRENACHE N"),#REF!,0))</f>
        <v>#REF!</v>
      </c>
      <c r="CG103" s="7" t="e">
        <f>IF(#REF!="","",IF(AND($CE103&gt;0,#REF!="SYRAH N"),#REF!,0))</f>
        <v>#REF!</v>
      </c>
      <c r="CH103" s="7" t="e">
        <f>IF(#REF!="","",IF(AND($CE103&gt;0,#REF!="CINSAUT N"),#REF!,0))</f>
        <v>#REF!</v>
      </c>
      <c r="CI103" s="7" t="e">
        <f>IF(#REF!="","",IF(AND($CE103&gt;0,#REF!="TIBOUREN N"),#REF!,0))</f>
        <v>#REF!</v>
      </c>
      <c r="CJ103" s="7" t="e">
        <f>IF(#REF!="","",IF(AND($CE103&gt;0,#REF!="MOURVEDRE N"),#REF!,0))</f>
        <v>#REF!</v>
      </c>
      <c r="CK103" s="7" t="e">
        <f>IF(#REF!="","",IF(AND($CE103&gt;0,#REF!="CARIGNAN N"),#REF!,0))</f>
        <v>#REF!</v>
      </c>
      <c r="CL103" s="7" t="e">
        <f>IF(#REF!="","",IF(AND($CE103&gt;0,#REF!="CABERNET SAUVIGNON N"),#REF!,0))</f>
        <v>#REF!</v>
      </c>
      <c r="CM103" s="7" t="e">
        <f>IF(#REF!="","",IF(AND($CE103&gt;0,#REF!="VERMENTINO B"),#REF!,0))</f>
        <v>#REF!</v>
      </c>
      <c r="CN103" s="7" t="e">
        <f>IF(#REF!="","",IF(AND($CE103&gt;0,#REF!="UGNI BLANC B"),#REF!,0))</f>
        <v>#REF!</v>
      </c>
      <c r="CO103" s="7" t="e">
        <f>IF(#REF!="","",IF(AND($CE103&gt;0,#REF!="CLAIRETTE B"),#REF!,0))</f>
        <v>#REF!</v>
      </c>
      <c r="CP103" s="7" t="e">
        <f>IF(#REF!="","",IF(AND($CE103&gt;0,#REF!="semillon B"),#REF!,0))</f>
        <v>#REF!</v>
      </c>
      <c r="CQ103" s="7" t="e">
        <f>IF(#REF!="","",IF(CE103=0,CC103,0))</f>
        <v>#REF!</v>
      </c>
      <c r="CR103" s="17"/>
      <c r="DE103"/>
    </row>
    <row r="104" spans="78:109" x14ac:dyDescent="0.25">
      <c r="CC104" s="7" t="e">
        <f>IF(#REF!="","",IF(#REF!="PF",#REF!,0))</f>
        <v>#REF!</v>
      </c>
      <c r="CD104" s="7" t="e">
        <f>IF(#REF!="","",IF(#REF!="PF",IF((#REF!+4)&lt;YEAR(#REF!),0,#REF!),0))</f>
        <v>#REF!</v>
      </c>
      <c r="CE104" s="7" t="e">
        <f>IF(#REF!="","",IF(AND(CD104&gt;0,#REF!&lt;&gt;""),CC104,0))</f>
        <v>#REF!</v>
      </c>
      <c r="CF104" s="7" t="e">
        <f>IF(#REF!="","",IF(AND($CE104&gt;0,#REF!= "GRENACHE N"),#REF!,0))</f>
        <v>#REF!</v>
      </c>
      <c r="CG104" s="7" t="e">
        <f>IF(#REF!="","",IF(AND($CE104&gt;0,#REF!="SYRAH N"),#REF!,0))</f>
        <v>#REF!</v>
      </c>
      <c r="CH104" s="7" t="e">
        <f>IF(#REF!="","",IF(AND($CE104&gt;0,#REF!="CINSAUT N"),#REF!,0))</f>
        <v>#REF!</v>
      </c>
      <c r="CI104" s="7" t="e">
        <f>IF(#REF!="","",IF(AND($CE104&gt;0,#REF!="TIBOUREN N"),#REF!,0))</f>
        <v>#REF!</v>
      </c>
      <c r="CJ104" s="7" t="e">
        <f>IF(#REF!="","",IF(AND($CE104&gt;0,#REF!="MOURVEDRE N"),#REF!,0))</f>
        <v>#REF!</v>
      </c>
      <c r="CK104" s="7" t="e">
        <f>IF(#REF!="","",IF(AND($CE104&gt;0,#REF!="CARIGNAN N"),#REF!,0))</f>
        <v>#REF!</v>
      </c>
      <c r="CL104" s="7" t="e">
        <f>IF(#REF!="","",IF(AND($CE104&gt;0,#REF!="CABERNET SAUVIGNON N"),#REF!,0))</f>
        <v>#REF!</v>
      </c>
      <c r="CM104" s="7" t="e">
        <f>IF(#REF!="","",IF(AND($CE104&gt;0,#REF!="VERMENTINO B"),#REF!,0))</f>
        <v>#REF!</v>
      </c>
      <c r="CN104" s="7" t="e">
        <f>IF(#REF!="","",IF(AND($CE104&gt;0,#REF!="UGNI BLANC B"),#REF!,0))</f>
        <v>#REF!</v>
      </c>
      <c r="CO104" s="7" t="e">
        <f>IF(#REF!="","",IF(AND($CE104&gt;0,#REF!="CLAIRETTE B"),#REF!,0))</f>
        <v>#REF!</v>
      </c>
      <c r="CP104" s="7" t="e">
        <f>IF(#REF!="","",IF(AND($CE104&gt;0,#REF!="semillon B"),#REF!,0))</f>
        <v>#REF!</v>
      </c>
      <c r="CQ104" s="7" t="e">
        <f>IF(#REF!="","",IF(CE104=0,CC104,0))</f>
        <v>#REF!</v>
      </c>
      <c r="CR104" s="17"/>
      <c r="DE104"/>
    </row>
    <row r="105" spans="78:109" x14ac:dyDescent="0.25">
      <c r="CC105" s="7" t="e">
        <f>IF(#REF!="","",IF(#REF!="PF",#REF!,0))</f>
        <v>#REF!</v>
      </c>
      <c r="CD105" s="7" t="e">
        <f>IF(#REF!="","",IF(#REF!="PF",IF((#REF!+4)&lt;YEAR(#REF!),0,#REF!),0))</f>
        <v>#REF!</v>
      </c>
      <c r="CE105" s="7" t="e">
        <f>IF(#REF!="","",IF(AND(CD105&gt;0,#REF!&lt;&gt;""),CC105,0))</f>
        <v>#REF!</v>
      </c>
      <c r="CF105" s="7" t="e">
        <f>IF(#REF!="","",IF(AND($CE105&gt;0,#REF!= "GRENACHE N"),#REF!,0))</f>
        <v>#REF!</v>
      </c>
      <c r="CG105" s="7" t="e">
        <f>IF(#REF!="","",IF(AND($CE105&gt;0,#REF!="SYRAH N"),#REF!,0))</f>
        <v>#REF!</v>
      </c>
      <c r="CH105" s="7" t="e">
        <f>IF(#REF!="","",IF(AND($CE105&gt;0,#REF!="CINSAUT N"),#REF!,0))</f>
        <v>#REF!</v>
      </c>
      <c r="CI105" s="7" t="e">
        <f>IF(#REF!="","",IF(AND($CE105&gt;0,#REF!="TIBOUREN N"),#REF!,0))</f>
        <v>#REF!</v>
      </c>
      <c r="CJ105" s="7" t="e">
        <f>IF(#REF!="","",IF(AND($CE105&gt;0,#REF!="MOURVEDRE N"),#REF!,0))</f>
        <v>#REF!</v>
      </c>
      <c r="CK105" s="7" t="e">
        <f>IF(#REF!="","",IF(AND($CE105&gt;0,#REF!="CARIGNAN N"),#REF!,0))</f>
        <v>#REF!</v>
      </c>
      <c r="CL105" s="7" t="e">
        <f>IF(#REF!="","",IF(AND($CE105&gt;0,#REF!="CABERNET SAUVIGNON N"),#REF!,0))</f>
        <v>#REF!</v>
      </c>
      <c r="CM105" s="7" t="e">
        <f>IF(#REF!="","",IF(AND($CE105&gt;0,#REF!="VERMENTINO B"),#REF!,0))</f>
        <v>#REF!</v>
      </c>
      <c r="CN105" s="7" t="e">
        <f>IF(#REF!="","",IF(AND($CE105&gt;0,#REF!="UGNI BLANC B"),#REF!,0))</f>
        <v>#REF!</v>
      </c>
      <c r="CO105" s="7" t="e">
        <f>IF(#REF!="","",IF(AND($CE105&gt;0,#REF!="CLAIRETTE B"),#REF!,0))</f>
        <v>#REF!</v>
      </c>
      <c r="CP105" s="7" t="e">
        <f>IF(#REF!="","",IF(AND($CE105&gt;0,#REF!="semillon B"),#REF!,0))</f>
        <v>#REF!</v>
      </c>
      <c r="CQ105" s="7" t="e">
        <f>IF(#REF!="","",IF(CE105=0,CC105,0))</f>
        <v>#REF!</v>
      </c>
      <c r="CR105" s="17"/>
      <c r="DE105"/>
    </row>
    <row r="106" spans="78:109" x14ac:dyDescent="0.25">
      <c r="CC106" s="7" t="e">
        <f>IF(#REF!="","",IF(#REF!="PF",#REF!,0))</f>
        <v>#REF!</v>
      </c>
      <c r="CD106" s="7" t="e">
        <f>IF(#REF!="","",IF(#REF!="PF",IF((#REF!+4)&lt;YEAR(#REF!),0,#REF!),0))</f>
        <v>#REF!</v>
      </c>
      <c r="CE106" s="7" t="e">
        <f>IF(#REF!="","",IF(AND(CD106&gt;0,#REF!&lt;&gt;""),CC106,0))</f>
        <v>#REF!</v>
      </c>
      <c r="CF106" s="7" t="e">
        <f>IF(#REF!="","",IF(AND($CE106&gt;0,#REF!= "GRENACHE N"),#REF!,0))</f>
        <v>#REF!</v>
      </c>
      <c r="CG106" s="7" t="e">
        <f>IF(#REF!="","",IF(AND($CE106&gt;0,#REF!="SYRAH N"),#REF!,0))</f>
        <v>#REF!</v>
      </c>
      <c r="CH106" s="7" t="e">
        <f>IF(#REF!="","",IF(AND($CE106&gt;0,#REF!="CINSAUT N"),#REF!,0))</f>
        <v>#REF!</v>
      </c>
      <c r="CI106" s="7" t="e">
        <f>IF(#REF!="","",IF(AND($CE106&gt;0,#REF!="TIBOUREN N"),#REF!,0))</f>
        <v>#REF!</v>
      </c>
      <c r="CJ106" s="7" t="e">
        <f>IF(#REF!="","",IF(AND($CE106&gt;0,#REF!="MOURVEDRE N"),#REF!,0))</f>
        <v>#REF!</v>
      </c>
      <c r="CK106" s="7" t="e">
        <f>IF(#REF!="","",IF(AND($CE106&gt;0,#REF!="CARIGNAN N"),#REF!,0))</f>
        <v>#REF!</v>
      </c>
      <c r="CL106" s="7" t="e">
        <f>IF(#REF!="","",IF(AND($CE106&gt;0,#REF!="CABERNET SAUVIGNON N"),#REF!,0))</f>
        <v>#REF!</v>
      </c>
      <c r="CM106" s="7" t="e">
        <f>IF(#REF!="","",IF(AND($CE106&gt;0,#REF!="VERMENTINO B"),#REF!,0))</f>
        <v>#REF!</v>
      </c>
      <c r="CN106" s="7" t="e">
        <f>IF(#REF!="","",IF(AND($CE106&gt;0,#REF!="UGNI BLANC B"),#REF!,0))</f>
        <v>#REF!</v>
      </c>
      <c r="CO106" s="7" t="e">
        <f>IF(#REF!="","",IF(AND($CE106&gt;0,#REF!="CLAIRETTE B"),#REF!,0))</f>
        <v>#REF!</v>
      </c>
      <c r="CP106" s="7" t="e">
        <f>IF(#REF!="","",IF(AND($CE106&gt;0,#REF!="semillon B"),#REF!,0))</f>
        <v>#REF!</v>
      </c>
      <c r="CQ106" s="7" t="e">
        <f>IF(#REF!="","",IF(CE106=0,CC106,0))</f>
        <v>#REF!</v>
      </c>
      <c r="CR106" s="17"/>
      <c r="DE106"/>
    </row>
    <row r="107" spans="78:109" x14ac:dyDescent="0.25">
      <c r="CC107" s="7" t="e">
        <f>IF(#REF!="","",IF(#REF!="PF",#REF!,0))</f>
        <v>#REF!</v>
      </c>
      <c r="CD107" s="7" t="e">
        <f>IF(#REF!="","",IF(#REF!="PF",IF((#REF!+4)&lt;YEAR(#REF!),0,#REF!),0))</f>
        <v>#REF!</v>
      </c>
      <c r="CE107" s="7" t="e">
        <f>IF(#REF!="","",IF(AND(CD107&gt;0,#REF!&lt;&gt;""),CC107,0))</f>
        <v>#REF!</v>
      </c>
      <c r="CF107" s="7" t="e">
        <f>IF(#REF!="","",IF(AND($CE107&gt;0,#REF!= "GRENACHE N"),#REF!,0))</f>
        <v>#REF!</v>
      </c>
      <c r="CG107" s="7" t="e">
        <f>IF(#REF!="","",IF(AND($CE107&gt;0,#REF!="SYRAH N"),#REF!,0))</f>
        <v>#REF!</v>
      </c>
      <c r="CH107" s="7" t="e">
        <f>IF(#REF!="","",IF(AND($CE107&gt;0,#REF!="CINSAUT N"),#REF!,0))</f>
        <v>#REF!</v>
      </c>
      <c r="CI107" s="7" t="e">
        <f>IF(#REF!="","",IF(AND($CE107&gt;0,#REF!="TIBOUREN N"),#REF!,0))</f>
        <v>#REF!</v>
      </c>
      <c r="CJ107" s="7" t="e">
        <f>IF(#REF!="","",IF(AND($CE107&gt;0,#REF!="MOURVEDRE N"),#REF!,0))</f>
        <v>#REF!</v>
      </c>
      <c r="CK107" s="7" t="e">
        <f>IF(#REF!="","",IF(AND($CE107&gt;0,#REF!="CARIGNAN N"),#REF!,0))</f>
        <v>#REF!</v>
      </c>
      <c r="CL107" s="7" t="e">
        <f>IF(#REF!="","",IF(AND($CE107&gt;0,#REF!="CABERNET SAUVIGNON N"),#REF!,0))</f>
        <v>#REF!</v>
      </c>
      <c r="CM107" s="7" t="e">
        <f>IF(#REF!="","",IF(AND($CE107&gt;0,#REF!="VERMENTINO B"),#REF!,0))</f>
        <v>#REF!</v>
      </c>
      <c r="CN107" s="7" t="e">
        <f>IF(#REF!="","",IF(AND($CE107&gt;0,#REF!="UGNI BLANC B"),#REF!,0))</f>
        <v>#REF!</v>
      </c>
      <c r="CO107" s="7" t="e">
        <f>IF(#REF!="","",IF(AND($CE107&gt;0,#REF!="CLAIRETTE B"),#REF!,0))</f>
        <v>#REF!</v>
      </c>
      <c r="CP107" s="7" t="e">
        <f>IF(#REF!="","",IF(AND($CE107&gt;0,#REF!="semillon B"),#REF!,0))</f>
        <v>#REF!</v>
      </c>
      <c r="CQ107" s="7" t="e">
        <f>IF(#REF!="","",IF(CE107=0,CC107,0))</f>
        <v>#REF!</v>
      </c>
      <c r="CR107" s="17"/>
      <c r="DE107"/>
    </row>
    <row r="108" spans="78:109" x14ac:dyDescent="0.25">
      <c r="CC108" s="7" t="e">
        <f>IF(#REF!="","",IF(#REF!="PF",#REF!,0))</f>
        <v>#REF!</v>
      </c>
      <c r="CD108" s="7" t="e">
        <f>IF(#REF!="","",IF(#REF!="PF",IF((#REF!+4)&lt;YEAR(#REF!),0,#REF!),0))</f>
        <v>#REF!</v>
      </c>
      <c r="CE108" s="7" t="e">
        <f>IF(#REF!="","",IF(AND(CD108&gt;0,#REF!&lt;&gt;""),CC108,0))</f>
        <v>#REF!</v>
      </c>
      <c r="CF108" s="7" t="e">
        <f>IF(#REF!="","",IF(AND($CE108&gt;0,#REF!= "GRENACHE N"),#REF!,0))</f>
        <v>#REF!</v>
      </c>
      <c r="CG108" s="7" t="e">
        <f>IF(#REF!="","",IF(AND($CE108&gt;0,#REF!="SYRAH N"),#REF!,0))</f>
        <v>#REF!</v>
      </c>
      <c r="CH108" s="7" t="e">
        <f>IF(#REF!="","",IF(AND($CE108&gt;0,#REF!="CINSAUT N"),#REF!,0))</f>
        <v>#REF!</v>
      </c>
      <c r="CI108" s="7" t="e">
        <f>IF(#REF!="","",IF(AND($CE108&gt;0,#REF!="TIBOUREN N"),#REF!,0))</f>
        <v>#REF!</v>
      </c>
      <c r="CJ108" s="7" t="e">
        <f>IF(#REF!="","",IF(AND($CE108&gt;0,#REF!="MOURVEDRE N"),#REF!,0))</f>
        <v>#REF!</v>
      </c>
      <c r="CK108" s="7" t="e">
        <f>IF(#REF!="","",IF(AND($CE108&gt;0,#REF!="CARIGNAN N"),#REF!,0))</f>
        <v>#REF!</v>
      </c>
      <c r="CL108" s="7" t="e">
        <f>IF(#REF!="","",IF(AND($CE108&gt;0,#REF!="CABERNET SAUVIGNON N"),#REF!,0))</f>
        <v>#REF!</v>
      </c>
      <c r="CM108" s="7" t="e">
        <f>IF(#REF!="","",IF(AND($CE108&gt;0,#REF!="VERMENTINO B"),#REF!,0))</f>
        <v>#REF!</v>
      </c>
      <c r="CN108" s="7" t="e">
        <f>IF(#REF!="","",IF(AND($CE108&gt;0,#REF!="UGNI BLANC B"),#REF!,0))</f>
        <v>#REF!</v>
      </c>
      <c r="CO108" s="7" t="e">
        <f>IF(#REF!="","",IF(AND($CE108&gt;0,#REF!="CLAIRETTE B"),#REF!,0))</f>
        <v>#REF!</v>
      </c>
      <c r="CP108" s="7" t="e">
        <f>IF(#REF!="","",IF(AND($CE108&gt;0,#REF!="semillon B"),#REF!,0))</f>
        <v>#REF!</v>
      </c>
      <c r="CQ108" s="7" t="e">
        <f>IF(#REF!="","",IF(CE108=0,CC108,0))</f>
        <v>#REF!</v>
      </c>
      <c r="CR108" s="17"/>
      <c r="DE108"/>
    </row>
    <row r="109" spans="78:109" x14ac:dyDescent="0.25">
      <c r="CC109" s="7" t="e">
        <f>IF(#REF!="","",IF(#REF!="PF",#REF!,0))</f>
        <v>#REF!</v>
      </c>
      <c r="CD109" s="7" t="e">
        <f>IF(#REF!="","",IF(#REF!="PF",IF((#REF!+4)&lt;YEAR(#REF!),0,#REF!),0))</f>
        <v>#REF!</v>
      </c>
      <c r="CE109" s="7" t="e">
        <f>IF(#REF!="","",IF(AND(CD109&gt;0,#REF!&lt;&gt;""),CC109,0))</f>
        <v>#REF!</v>
      </c>
      <c r="CF109" s="7" t="e">
        <f>IF(#REF!="","",IF(AND($CE109&gt;0,#REF!= "GRENACHE N"),#REF!,0))</f>
        <v>#REF!</v>
      </c>
      <c r="CG109" s="7" t="e">
        <f>IF(#REF!="","",IF(AND($CE109&gt;0,#REF!="SYRAH N"),#REF!,0))</f>
        <v>#REF!</v>
      </c>
      <c r="CH109" s="7" t="e">
        <f>IF(#REF!="","",IF(AND($CE109&gt;0,#REF!="CINSAUT N"),#REF!,0))</f>
        <v>#REF!</v>
      </c>
      <c r="CI109" s="7" t="e">
        <f>IF(#REF!="","",IF(AND($CE109&gt;0,#REF!="TIBOUREN N"),#REF!,0))</f>
        <v>#REF!</v>
      </c>
      <c r="CJ109" s="7" t="e">
        <f>IF(#REF!="","",IF(AND($CE109&gt;0,#REF!="MOURVEDRE N"),#REF!,0))</f>
        <v>#REF!</v>
      </c>
      <c r="CK109" s="7" t="e">
        <f>IF(#REF!="","",IF(AND($CE109&gt;0,#REF!="CARIGNAN N"),#REF!,0))</f>
        <v>#REF!</v>
      </c>
      <c r="CL109" s="7" t="e">
        <f>IF(#REF!="","",IF(AND($CE109&gt;0,#REF!="CABERNET SAUVIGNON N"),#REF!,0))</f>
        <v>#REF!</v>
      </c>
      <c r="CM109" s="7" t="e">
        <f>IF(#REF!="","",IF(AND($CE109&gt;0,#REF!="VERMENTINO B"),#REF!,0))</f>
        <v>#REF!</v>
      </c>
      <c r="CN109" s="7" t="e">
        <f>IF(#REF!="","",IF(AND($CE109&gt;0,#REF!="UGNI BLANC B"),#REF!,0))</f>
        <v>#REF!</v>
      </c>
      <c r="CO109" s="7" t="e">
        <f>IF(#REF!="","",IF(AND($CE109&gt;0,#REF!="CLAIRETTE B"),#REF!,0))</f>
        <v>#REF!</v>
      </c>
      <c r="CP109" s="7" t="e">
        <f>IF(#REF!="","",IF(AND($CE109&gt;0,#REF!="semillon B"),#REF!,0))</f>
        <v>#REF!</v>
      </c>
      <c r="CQ109" s="7" t="e">
        <f>IF(#REF!="","",IF(CE109=0,CC109,0))</f>
        <v>#REF!</v>
      </c>
      <c r="CR109" s="17"/>
      <c r="DE109"/>
    </row>
    <row r="110" spans="78:109" x14ac:dyDescent="0.25">
      <c r="CC110" s="7" t="e">
        <f>IF(#REF!="","",IF(#REF!="PF",#REF!,0))</f>
        <v>#REF!</v>
      </c>
      <c r="CD110" s="7" t="e">
        <f>IF(#REF!="","",IF(#REF!="PF",IF((#REF!+4)&lt;YEAR(#REF!),0,#REF!),0))</f>
        <v>#REF!</v>
      </c>
      <c r="CE110" s="7" t="e">
        <f>IF(#REF!="","",IF(AND(CD110&gt;0,#REF!&lt;&gt;""),CC110,0))</f>
        <v>#REF!</v>
      </c>
      <c r="CF110" s="7" t="e">
        <f>IF(#REF!="","",IF(AND($CE110&gt;0,#REF!= "GRENACHE N"),#REF!,0))</f>
        <v>#REF!</v>
      </c>
      <c r="CG110" s="7" t="e">
        <f>IF(#REF!="","",IF(AND($CE110&gt;0,#REF!="SYRAH N"),#REF!,0))</f>
        <v>#REF!</v>
      </c>
      <c r="CH110" s="7" t="e">
        <f>IF(#REF!="","",IF(AND($CE110&gt;0,#REF!="CINSAUT N"),#REF!,0))</f>
        <v>#REF!</v>
      </c>
      <c r="CI110" s="7" t="e">
        <f>IF(#REF!="","",IF(AND($CE110&gt;0,#REF!="TIBOUREN N"),#REF!,0))</f>
        <v>#REF!</v>
      </c>
      <c r="CJ110" s="7" t="e">
        <f>IF(#REF!="","",IF(AND($CE110&gt;0,#REF!="MOURVEDRE N"),#REF!,0))</f>
        <v>#REF!</v>
      </c>
      <c r="CK110" s="7" t="e">
        <f>IF(#REF!="","",IF(AND($CE110&gt;0,#REF!="CARIGNAN N"),#REF!,0))</f>
        <v>#REF!</v>
      </c>
      <c r="CL110" s="7" t="e">
        <f>IF(#REF!="","",IF(AND($CE110&gt;0,#REF!="CABERNET SAUVIGNON N"),#REF!,0))</f>
        <v>#REF!</v>
      </c>
      <c r="CM110" s="7" t="e">
        <f>IF(#REF!="","",IF(AND($CE110&gt;0,#REF!="VERMENTINO B"),#REF!,0))</f>
        <v>#REF!</v>
      </c>
      <c r="CN110" s="7" t="e">
        <f>IF(#REF!="","",IF(AND($CE110&gt;0,#REF!="UGNI BLANC B"),#REF!,0))</f>
        <v>#REF!</v>
      </c>
      <c r="CO110" s="7" t="e">
        <f>IF(#REF!="","",IF(AND($CE110&gt;0,#REF!="CLAIRETTE B"),#REF!,0))</f>
        <v>#REF!</v>
      </c>
      <c r="CP110" s="7" t="e">
        <f>IF(#REF!="","",IF(AND($CE110&gt;0,#REF!="semillon B"),#REF!,0))</f>
        <v>#REF!</v>
      </c>
      <c r="CQ110" s="7" t="e">
        <f>IF(#REF!="","",IF(CE110=0,CC110,0))</f>
        <v>#REF!</v>
      </c>
      <c r="CR110" s="17"/>
      <c r="DE110"/>
    </row>
    <row r="111" spans="78:109" x14ac:dyDescent="0.25">
      <c r="CC111" s="7" t="e">
        <f>IF(#REF!="","",IF(#REF!="PF",#REF!,0))</f>
        <v>#REF!</v>
      </c>
      <c r="CD111" s="7" t="e">
        <f>IF(#REF!="","",IF(#REF!="PF",IF((#REF!+4)&lt;YEAR(#REF!),0,#REF!),0))</f>
        <v>#REF!</v>
      </c>
      <c r="CE111" s="7" t="e">
        <f>IF(#REF!="","",IF(AND(CD111&gt;0,#REF!&lt;&gt;""),CC111,0))</f>
        <v>#REF!</v>
      </c>
      <c r="CF111" s="7" t="e">
        <f>IF(#REF!="","",IF(AND($CE111&gt;0,#REF!= "GRENACHE N"),#REF!,0))</f>
        <v>#REF!</v>
      </c>
      <c r="CG111" s="7" t="e">
        <f>IF(#REF!="","",IF(AND($CE111&gt;0,#REF!="SYRAH N"),#REF!,0))</f>
        <v>#REF!</v>
      </c>
      <c r="CH111" s="7" t="e">
        <f>IF(#REF!="","",IF(AND($CE111&gt;0,#REF!="CINSAUT N"),#REF!,0))</f>
        <v>#REF!</v>
      </c>
      <c r="CI111" s="7" t="e">
        <f>IF(#REF!="","",IF(AND($CE111&gt;0,#REF!="TIBOUREN N"),#REF!,0))</f>
        <v>#REF!</v>
      </c>
      <c r="CJ111" s="7" t="e">
        <f>IF(#REF!="","",IF(AND($CE111&gt;0,#REF!="MOURVEDRE N"),#REF!,0))</f>
        <v>#REF!</v>
      </c>
      <c r="CK111" s="7" t="e">
        <f>IF(#REF!="","",IF(AND($CE111&gt;0,#REF!="CARIGNAN N"),#REF!,0))</f>
        <v>#REF!</v>
      </c>
      <c r="CL111" s="7" t="e">
        <f>IF(#REF!="","",IF(AND($CE111&gt;0,#REF!="CABERNET SAUVIGNON N"),#REF!,0))</f>
        <v>#REF!</v>
      </c>
      <c r="CM111" s="7" t="e">
        <f>IF(#REF!="","",IF(AND($CE111&gt;0,#REF!="VERMENTINO B"),#REF!,0))</f>
        <v>#REF!</v>
      </c>
      <c r="CN111" s="7" t="e">
        <f>IF(#REF!="","",IF(AND($CE111&gt;0,#REF!="UGNI BLANC B"),#REF!,0))</f>
        <v>#REF!</v>
      </c>
      <c r="CO111" s="7" t="e">
        <f>IF(#REF!="","",IF(AND($CE111&gt;0,#REF!="CLAIRETTE B"),#REF!,0))</f>
        <v>#REF!</v>
      </c>
      <c r="CP111" s="7" t="e">
        <f>IF(#REF!="","",IF(AND($CE111&gt;0,#REF!="semillon B"),#REF!,0))</f>
        <v>#REF!</v>
      </c>
      <c r="CQ111" s="7" t="e">
        <f>IF(#REF!="","",IF(CE111=0,CC111,0))</f>
        <v>#REF!</v>
      </c>
      <c r="CR111" s="17"/>
      <c r="DE111"/>
    </row>
    <row r="112" spans="78:109" x14ac:dyDescent="0.25">
      <c r="CC112" s="7" t="e">
        <f>IF(#REF!="","",IF(#REF!="PF",#REF!,0))</f>
        <v>#REF!</v>
      </c>
      <c r="CD112" s="7" t="e">
        <f>IF(#REF!="","",IF(#REF!="PF",IF((#REF!+4)&lt;YEAR(#REF!),0,#REF!),0))</f>
        <v>#REF!</v>
      </c>
      <c r="CE112" s="7" t="e">
        <f>IF(#REF!="","",IF(AND(CD112&gt;0,#REF!&lt;&gt;""),CC112,0))</f>
        <v>#REF!</v>
      </c>
      <c r="CF112" s="7" t="e">
        <f>IF(#REF!="","",IF(AND($CE112&gt;0,#REF!= "GRENACHE N"),#REF!,0))</f>
        <v>#REF!</v>
      </c>
      <c r="CG112" s="7" t="e">
        <f>IF(#REF!="","",IF(AND($CE112&gt;0,#REF!="SYRAH N"),#REF!,0))</f>
        <v>#REF!</v>
      </c>
      <c r="CH112" s="7" t="e">
        <f>IF(#REF!="","",IF(AND($CE112&gt;0,#REF!="CINSAUT N"),#REF!,0))</f>
        <v>#REF!</v>
      </c>
      <c r="CI112" s="7" t="e">
        <f>IF(#REF!="","",IF(AND($CE112&gt;0,#REF!="TIBOUREN N"),#REF!,0))</f>
        <v>#REF!</v>
      </c>
      <c r="CJ112" s="7" t="e">
        <f>IF(#REF!="","",IF(AND($CE112&gt;0,#REF!="MOURVEDRE N"),#REF!,0))</f>
        <v>#REF!</v>
      </c>
      <c r="CK112" s="7" t="e">
        <f>IF(#REF!="","",IF(AND($CE112&gt;0,#REF!="CARIGNAN N"),#REF!,0))</f>
        <v>#REF!</v>
      </c>
      <c r="CL112" s="7" t="e">
        <f>IF(#REF!="","",IF(AND($CE112&gt;0,#REF!="CABERNET SAUVIGNON N"),#REF!,0))</f>
        <v>#REF!</v>
      </c>
      <c r="CM112" s="7" t="e">
        <f>IF(#REF!="","",IF(AND($CE112&gt;0,#REF!="VERMENTINO B"),#REF!,0))</f>
        <v>#REF!</v>
      </c>
      <c r="CN112" s="7" t="e">
        <f>IF(#REF!="","",IF(AND($CE112&gt;0,#REF!="UGNI BLANC B"),#REF!,0))</f>
        <v>#REF!</v>
      </c>
      <c r="CO112" s="7" t="e">
        <f>IF(#REF!="","",IF(AND($CE112&gt;0,#REF!="CLAIRETTE B"),#REF!,0))</f>
        <v>#REF!</v>
      </c>
      <c r="CP112" s="7" t="e">
        <f>IF(#REF!="","",IF(AND($CE112&gt;0,#REF!="semillon B"),#REF!,0))</f>
        <v>#REF!</v>
      </c>
      <c r="CQ112" s="7" t="e">
        <f>IF(#REF!="","",IF(CE112=0,CC112,0))</f>
        <v>#REF!</v>
      </c>
      <c r="CR112" s="17"/>
      <c r="DE112"/>
    </row>
    <row r="113" spans="81:109" x14ac:dyDescent="0.25">
      <c r="CC113" s="7" t="e">
        <f>IF(#REF!="","",IF(#REF!="PF",#REF!,0))</f>
        <v>#REF!</v>
      </c>
      <c r="CD113" s="7" t="e">
        <f>IF(#REF!="","",IF(#REF!="PF",IF((#REF!+4)&lt;YEAR(#REF!),0,#REF!),0))</f>
        <v>#REF!</v>
      </c>
      <c r="CE113" s="7" t="e">
        <f>IF(#REF!="","",IF(AND(CD113&gt;0,#REF!&lt;&gt;""),CC113,0))</f>
        <v>#REF!</v>
      </c>
      <c r="CF113" s="7" t="e">
        <f>IF(#REF!="","",IF(AND($CE113&gt;0,#REF!= "GRENACHE N"),#REF!,0))</f>
        <v>#REF!</v>
      </c>
      <c r="CG113" s="7" t="e">
        <f>IF(#REF!="","",IF(AND($CE113&gt;0,#REF!="SYRAH N"),#REF!,0))</f>
        <v>#REF!</v>
      </c>
      <c r="CH113" s="7" t="e">
        <f>IF(#REF!="","",IF(AND($CE113&gt;0,#REF!="CINSAUT N"),#REF!,0))</f>
        <v>#REF!</v>
      </c>
      <c r="CI113" s="7" t="e">
        <f>IF(#REF!="","",IF(AND($CE113&gt;0,#REF!="TIBOUREN N"),#REF!,0))</f>
        <v>#REF!</v>
      </c>
      <c r="CJ113" s="7" t="e">
        <f>IF(#REF!="","",IF(AND($CE113&gt;0,#REF!="MOURVEDRE N"),#REF!,0))</f>
        <v>#REF!</v>
      </c>
      <c r="CK113" s="7" t="e">
        <f>IF(#REF!="","",IF(AND($CE113&gt;0,#REF!="CARIGNAN N"),#REF!,0))</f>
        <v>#REF!</v>
      </c>
      <c r="CL113" s="7" t="e">
        <f>IF(#REF!="","",IF(AND($CE113&gt;0,#REF!="CABERNET SAUVIGNON N"),#REF!,0))</f>
        <v>#REF!</v>
      </c>
      <c r="CM113" s="7" t="e">
        <f>IF(#REF!="","",IF(AND($CE113&gt;0,#REF!="VERMENTINO B"),#REF!,0))</f>
        <v>#REF!</v>
      </c>
      <c r="CN113" s="7" t="e">
        <f>IF(#REF!="","",IF(AND($CE113&gt;0,#REF!="UGNI BLANC B"),#REF!,0))</f>
        <v>#REF!</v>
      </c>
      <c r="CO113" s="7" t="e">
        <f>IF(#REF!="","",IF(AND($CE113&gt;0,#REF!="CLAIRETTE B"),#REF!,0))</f>
        <v>#REF!</v>
      </c>
      <c r="CP113" s="7" t="e">
        <f>IF(#REF!="","",IF(AND($CE113&gt;0,#REF!="semillon B"),#REF!,0))</f>
        <v>#REF!</v>
      </c>
      <c r="CQ113" s="7" t="e">
        <f>IF(#REF!="","",IF(CE113=0,CC113,0))</f>
        <v>#REF!</v>
      </c>
      <c r="CR113" s="17"/>
      <c r="DE113"/>
    </row>
    <row r="114" spans="81:109" x14ac:dyDescent="0.25">
      <c r="CC114" s="7" t="e">
        <f>IF(#REF!="","",IF(#REF!="PF",#REF!,0))</f>
        <v>#REF!</v>
      </c>
      <c r="CD114" s="7" t="e">
        <f>IF(#REF!="","",IF(#REF!="PF",IF((#REF!+4)&lt;YEAR(#REF!),0,#REF!),0))</f>
        <v>#REF!</v>
      </c>
      <c r="CE114" s="7" t="e">
        <f>IF(#REF!="","",IF(AND(CD114&gt;0,#REF!&lt;&gt;""),CC114,0))</f>
        <v>#REF!</v>
      </c>
      <c r="CF114" s="7" t="e">
        <f>IF(#REF!="","",IF(AND($CE114&gt;0,#REF!= "GRENACHE N"),#REF!,0))</f>
        <v>#REF!</v>
      </c>
      <c r="CG114" s="7" t="e">
        <f>IF(#REF!="","",IF(AND($CE114&gt;0,#REF!="SYRAH N"),#REF!,0))</f>
        <v>#REF!</v>
      </c>
      <c r="CH114" s="7" t="e">
        <f>IF(#REF!="","",IF(AND($CE114&gt;0,#REF!="CINSAUT N"),#REF!,0))</f>
        <v>#REF!</v>
      </c>
      <c r="CI114" s="7" t="e">
        <f>IF(#REF!="","",IF(AND($CE114&gt;0,#REF!="TIBOUREN N"),#REF!,0))</f>
        <v>#REF!</v>
      </c>
      <c r="CJ114" s="7" t="e">
        <f>IF(#REF!="","",IF(AND($CE114&gt;0,#REF!="MOURVEDRE N"),#REF!,0))</f>
        <v>#REF!</v>
      </c>
      <c r="CK114" s="7" t="e">
        <f>IF(#REF!="","",IF(AND($CE114&gt;0,#REF!="CARIGNAN N"),#REF!,0))</f>
        <v>#REF!</v>
      </c>
      <c r="CL114" s="7" t="e">
        <f>IF(#REF!="","",IF(AND($CE114&gt;0,#REF!="CABERNET SAUVIGNON N"),#REF!,0))</f>
        <v>#REF!</v>
      </c>
      <c r="CM114" s="7" t="e">
        <f>IF(#REF!="","",IF(AND($CE114&gt;0,#REF!="VERMENTINO B"),#REF!,0))</f>
        <v>#REF!</v>
      </c>
      <c r="CN114" s="7" t="e">
        <f>IF(#REF!="","",IF(AND($CE114&gt;0,#REF!="UGNI BLANC B"),#REF!,0))</f>
        <v>#REF!</v>
      </c>
      <c r="CO114" s="7" t="e">
        <f>IF(#REF!="","",IF(AND($CE114&gt;0,#REF!="CLAIRETTE B"),#REF!,0))</f>
        <v>#REF!</v>
      </c>
      <c r="CP114" s="7" t="e">
        <f>IF(#REF!="","",IF(AND($CE114&gt;0,#REF!="semillon B"),#REF!,0))</f>
        <v>#REF!</v>
      </c>
      <c r="CQ114" s="7" t="e">
        <f>IF(#REF!="","",IF(CE114=0,CC114,0))</f>
        <v>#REF!</v>
      </c>
      <c r="CR114" s="17"/>
      <c r="DE114"/>
    </row>
    <row r="115" spans="81:109" x14ac:dyDescent="0.25">
      <c r="CC115" s="7" t="e">
        <f>IF(#REF!="","",IF(#REF!="PF",#REF!,0))</f>
        <v>#REF!</v>
      </c>
      <c r="CD115" s="7" t="e">
        <f>IF(#REF!="","",IF(#REF!="PF",IF((#REF!+4)&lt;YEAR(#REF!),0,#REF!),0))</f>
        <v>#REF!</v>
      </c>
      <c r="CE115" s="7" t="e">
        <f>IF(#REF!="","",IF(AND(CD115&gt;0,#REF!&lt;&gt;""),CC115,0))</f>
        <v>#REF!</v>
      </c>
      <c r="CF115" s="7" t="e">
        <f>IF(#REF!="","",IF(AND($CE115&gt;0,#REF!= "GRENACHE N"),#REF!,0))</f>
        <v>#REF!</v>
      </c>
      <c r="CG115" s="7" t="e">
        <f>IF(#REF!="","",IF(AND($CE115&gt;0,#REF!="SYRAH N"),#REF!,0))</f>
        <v>#REF!</v>
      </c>
      <c r="CH115" s="7" t="e">
        <f>IF(#REF!="","",IF(AND($CE115&gt;0,#REF!="CINSAUT N"),#REF!,0))</f>
        <v>#REF!</v>
      </c>
      <c r="CI115" s="7" t="e">
        <f>IF(#REF!="","",IF(AND($CE115&gt;0,#REF!="TIBOUREN N"),#REF!,0))</f>
        <v>#REF!</v>
      </c>
      <c r="CJ115" s="7" t="e">
        <f>IF(#REF!="","",IF(AND($CE115&gt;0,#REF!="MOURVEDRE N"),#REF!,0))</f>
        <v>#REF!</v>
      </c>
      <c r="CK115" s="7" t="e">
        <f>IF(#REF!="","",IF(AND($CE115&gt;0,#REF!="CARIGNAN N"),#REF!,0))</f>
        <v>#REF!</v>
      </c>
      <c r="CL115" s="7" t="e">
        <f>IF(#REF!="","",IF(AND($CE115&gt;0,#REF!="CABERNET SAUVIGNON N"),#REF!,0))</f>
        <v>#REF!</v>
      </c>
      <c r="CM115" s="7" t="e">
        <f>IF(#REF!="","",IF(AND($CE115&gt;0,#REF!="VERMENTINO B"),#REF!,0))</f>
        <v>#REF!</v>
      </c>
      <c r="CN115" s="7" t="e">
        <f>IF(#REF!="","",IF(AND($CE115&gt;0,#REF!="UGNI BLANC B"),#REF!,0))</f>
        <v>#REF!</v>
      </c>
      <c r="CO115" s="7" t="e">
        <f>IF(#REF!="","",IF(AND($CE115&gt;0,#REF!="CLAIRETTE B"),#REF!,0))</f>
        <v>#REF!</v>
      </c>
      <c r="CP115" s="7" t="e">
        <f>IF(#REF!="","",IF(AND($CE115&gt;0,#REF!="semillon B"),#REF!,0))</f>
        <v>#REF!</v>
      </c>
      <c r="CQ115" s="7" t="e">
        <f>IF(#REF!="","",IF(CE115=0,CC115,0))</f>
        <v>#REF!</v>
      </c>
      <c r="CR115" s="17"/>
      <c r="DE115"/>
    </row>
    <row r="116" spans="81:109" x14ac:dyDescent="0.25">
      <c r="CC116" s="7" t="e">
        <f>IF(#REF!="","",IF(#REF!="PF",#REF!,0))</f>
        <v>#REF!</v>
      </c>
      <c r="CD116" s="7" t="e">
        <f>IF(#REF!="","",IF(#REF!="PF",IF((#REF!+4)&lt;YEAR(#REF!),0,#REF!),0))</f>
        <v>#REF!</v>
      </c>
      <c r="CE116" s="7" t="e">
        <f>IF(#REF!="","",IF(AND(CD116&gt;0,#REF!&lt;&gt;""),CC116,0))</f>
        <v>#REF!</v>
      </c>
      <c r="CF116" s="7" t="e">
        <f>IF(#REF!="","",IF(AND($CE116&gt;0,#REF!= "GRENACHE N"),#REF!,0))</f>
        <v>#REF!</v>
      </c>
      <c r="CG116" s="7" t="e">
        <f>IF(#REF!="","",IF(AND($CE116&gt;0,#REF!="SYRAH N"),#REF!,0))</f>
        <v>#REF!</v>
      </c>
      <c r="CH116" s="7" t="e">
        <f>IF(#REF!="","",IF(AND($CE116&gt;0,#REF!="CINSAUT N"),#REF!,0))</f>
        <v>#REF!</v>
      </c>
      <c r="CI116" s="7" t="e">
        <f>IF(#REF!="","",IF(AND($CE116&gt;0,#REF!="TIBOUREN N"),#REF!,0))</f>
        <v>#REF!</v>
      </c>
      <c r="CJ116" s="7" t="e">
        <f>IF(#REF!="","",IF(AND($CE116&gt;0,#REF!="MOURVEDRE N"),#REF!,0))</f>
        <v>#REF!</v>
      </c>
      <c r="CK116" s="7" t="e">
        <f>IF(#REF!="","",IF(AND($CE116&gt;0,#REF!="CARIGNAN N"),#REF!,0))</f>
        <v>#REF!</v>
      </c>
      <c r="CL116" s="7" t="e">
        <f>IF(#REF!="","",IF(AND($CE116&gt;0,#REF!="CABERNET SAUVIGNON N"),#REF!,0))</f>
        <v>#REF!</v>
      </c>
      <c r="CM116" s="7" t="e">
        <f>IF(#REF!="","",IF(AND($CE116&gt;0,#REF!="VERMENTINO B"),#REF!,0))</f>
        <v>#REF!</v>
      </c>
      <c r="CN116" s="7" t="e">
        <f>IF(#REF!="","",IF(AND($CE116&gt;0,#REF!="UGNI BLANC B"),#REF!,0))</f>
        <v>#REF!</v>
      </c>
      <c r="CO116" s="7" t="e">
        <f>IF(#REF!="","",IF(AND($CE116&gt;0,#REF!="CLAIRETTE B"),#REF!,0))</f>
        <v>#REF!</v>
      </c>
      <c r="CP116" s="7" t="e">
        <f>IF(#REF!="","",IF(AND($CE116&gt;0,#REF!="semillon B"),#REF!,0))</f>
        <v>#REF!</v>
      </c>
      <c r="CQ116" s="7" t="e">
        <f>IF(#REF!="","",IF(CE116=0,CC116,0))</f>
        <v>#REF!</v>
      </c>
      <c r="CR116" s="17"/>
      <c r="DE116"/>
    </row>
    <row r="117" spans="81:109" x14ac:dyDescent="0.25">
      <c r="CC117" s="7" t="e">
        <f>IF(#REF!="","",IF(#REF!="PF",#REF!,0))</f>
        <v>#REF!</v>
      </c>
      <c r="CD117" s="7" t="e">
        <f>IF(#REF!="","",IF(#REF!="PF",IF((#REF!+4)&lt;YEAR(#REF!),0,#REF!),0))</f>
        <v>#REF!</v>
      </c>
      <c r="CE117" s="7" t="e">
        <f>IF(#REF!="","",IF(AND(CD117&gt;0,#REF!&lt;&gt;""),CC117,0))</f>
        <v>#REF!</v>
      </c>
      <c r="CF117" s="7" t="e">
        <f>IF(#REF!="","",IF(AND($CE117&gt;0,#REF!= "GRENACHE N"),#REF!,0))</f>
        <v>#REF!</v>
      </c>
      <c r="CG117" s="7" t="e">
        <f>IF(#REF!="","",IF(AND($CE117&gt;0,#REF!="SYRAH N"),#REF!,0))</f>
        <v>#REF!</v>
      </c>
      <c r="CH117" s="7" t="e">
        <f>IF(#REF!="","",IF(AND($CE117&gt;0,#REF!="CINSAUT N"),#REF!,0))</f>
        <v>#REF!</v>
      </c>
      <c r="CI117" s="7" t="e">
        <f>IF(#REF!="","",IF(AND($CE117&gt;0,#REF!="TIBOUREN N"),#REF!,0))</f>
        <v>#REF!</v>
      </c>
      <c r="CJ117" s="7" t="e">
        <f>IF(#REF!="","",IF(AND($CE117&gt;0,#REF!="MOURVEDRE N"),#REF!,0))</f>
        <v>#REF!</v>
      </c>
      <c r="CK117" s="7" t="e">
        <f>IF(#REF!="","",IF(AND($CE117&gt;0,#REF!="CARIGNAN N"),#REF!,0))</f>
        <v>#REF!</v>
      </c>
      <c r="CL117" s="7" t="e">
        <f>IF(#REF!="","",IF(AND($CE117&gt;0,#REF!="CABERNET SAUVIGNON N"),#REF!,0))</f>
        <v>#REF!</v>
      </c>
      <c r="CM117" s="7" t="e">
        <f>IF(#REF!="","",IF(AND($CE117&gt;0,#REF!="VERMENTINO B"),#REF!,0))</f>
        <v>#REF!</v>
      </c>
      <c r="CN117" s="7" t="e">
        <f>IF(#REF!="","",IF(AND($CE117&gt;0,#REF!="UGNI BLANC B"),#REF!,0))</f>
        <v>#REF!</v>
      </c>
      <c r="CO117" s="7" t="e">
        <f>IF(#REF!="","",IF(AND($CE117&gt;0,#REF!="CLAIRETTE B"),#REF!,0))</f>
        <v>#REF!</v>
      </c>
      <c r="CP117" s="7" t="e">
        <f>IF(#REF!="","",IF(AND($CE117&gt;0,#REF!="semillon B"),#REF!,0))</f>
        <v>#REF!</v>
      </c>
      <c r="CQ117" s="7" t="e">
        <f>IF(#REF!="","",IF(CE117=0,CC117,0))</f>
        <v>#REF!</v>
      </c>
      <c r="CR117" s="17"/>
      <c r="DE117"/>
    </row>
    <row r="118" spans="81:109" x14ac:dyDescent="0.25">
      <c r="CC118" s="7" t="e">
        <f>IF(#REF!="","",IF(#REF!="PF",#REF!,0))</f>
        <v>#REF!</v>
      </c>
      <c r="CD118" s="7" t="e">
        <f>IF(#REF!="","",IF(#REF!="PF",IF((#REF!+4)&lt;YEAR(#REF!),0,#REF!),0))</f>
        <v>#REF!</v>
      </c>
      <c r="CE118" s="7" t="e">
        <f>IF(#REF!="","",IF(AND(CD118&gt;0,#REF!&lt;&gt;""),CC118,0))</f>
        <v>#REF!</v>
      </c>
      <c r="CF118" s="7" t="e">
        <f>IF(#REF!="","",IF(AND($CE118&gt;0,#REF!= "GRENACHE N"),#REF!,0))</f>
        <v>#REF!</v>
      </c>
      <c r="CG118" s="7" t="e">
        <f>IF(#REF!="","",IF(AND($CE118&gt;0,#REF!="SYRAH N"),#REF!,0))</f>
        <v>#REF!</v>
      </c>
      <c r="CH118" s="7" t="e">
        <f>IF(#REF!="","",IF(AND($CE118&gt;0,#REF!="CINSAUT N"),#REF!,0))</f>
        <v>#REF!</v>
      </c>
      <c r="CI118" s="7" t="e">
        <f>IF(#REF!="","",IF(AND($CE118&gt;0,#REF!="TIBOUREN N"),#REF!,0))</f>
        <v>#REF!</v>
      </c>
      <c r="CJ118" s="7" t="e">
        <f>IF(#REF!="","",IF(AND($CE118&gt;0,#REF!="MOURVEDRE N"),#REF!,0))</f>
        <v>#REF!</v>
      </c>
      <c r="CK118" s="7" t="e">
        <f>IF(#REF!="","",IF(AND($CE118&gt;0,#REF!="CARIGNAN N"),#REF!,0))</f>
        <v>#REF!</v>
      </c>
      <c r="CL118" s="7" t="e">
        <f>IF(#REF!="","",IF(AND($CE118&gt;0,#REF!="CABERNET SAUVIGNON N"),#REF!,0))</f>
        <v>#REF!</v>
      </c>
      <c r="CM118" s="7" t="e">
        <f>IF(#REF!="","",IF(AND($CE118&gt;0,#REF!="VERMENTINO B"),#REF!,0))</f>
        <v>#REF!</v>
      </c>
      <c r="CN118" s="7" t="e">
        <f>IF(#REF!="","",IF(AND($CE118&gt;0,#REF!="UGNI BLANC B"),#REF!,0))</f>
        <v>#REF!</v>
      </c>
      <c r="CO118" s="7" t="e">
        <f>IF(#REF!="","",IF(AND($CE118&gt;0,#REF!="CLAIRETTE B"),#REF!,0))</f>
        <v>#REF!</v>
      </c>
      <c r="CP118" s="7" t="e">
        <f>IF(#REF!="","",IF(AND($CE118&gt;0,#REF!="semillon B"),#REF!,0))</f>
        <v>#REF!</v>
      </c>
      <c r="CQ118" s="7" t="e">
        <f>IF(#REF!="","",IF(CE118=0,CC118,0))</f>
        <v>#REF!</v>
      </c>
      <c r="CR118" s="17"/>
      <c r="DE118"/>
    </row>
    <row r="119" spans="81:109" x14ac:dyDescent="0.25">
      <c r="CC119" s="7" t="e">
        <f>IF(#REF!="","",IF(#REF!="PF",#REF!,0))</f>
        <v>#REF!</v>
      </c>
      <c r="CD119" s="7" t="e">
        <f>IF(#REF!="","",IF(#REF!="PF",IF((#REF!+4)&lt;YEAR(#REF!),0,#REF!),0))</f>
        <v>#REF!</v>
      </c>
      <c r="CE119" s="7" t="e">
        <f>IF(#REF!="","",IF(AND(CD119&gt;0,#REF!&lt;&gt;""),CC119,0))</f>
        <v>#REF!</v>
      </c>
      <c r="CF119" s="7" t="e">
        <f>IF(#REF!="","",IF(AND($CE119&gt;0,#REF!= "GRENACHE N"),#REF!,0))</f>
        <v>#REF!</v>
      </c>
      <c r="CG119" s="7" t="e">
        <f>IF(#REF!="","",IF(AND($CE119&gt;0,#REF!="SYRAH N"),#REF!,0))</f>
        <v>#REF!</v>
      </c>
      <c r="CH119" s="7" t="e">
        <f>IF(#REF!="","",IF(AND($CE119&gt;0,#REF!="CINSAUT N"),#REF!,0))</f>
        <v>#REF!</v>
      </c>
      <c r="CI119" s="7" t="e">
        <f>IF(#REF!="","",IF(AND($CE119&gt;0,#REF!="TIBOUREN N"),#REF!,0))</f>
        <v>#REF!</v>
      </c>
      <c r="CJ119" s="7" t="e">
        <f>IF(#REF!="","",IF(AND($CE119&gt;0,#REF!="MOURVEDRE N"),#REF!,0))</f>
        <v>#REF!</v>
      </c>
      <c r="CK119" s="7" t="e">
        <f>IF(#REF!="","",IF(AND($CE119&gt;0,#REF!="CARIGNAN N"),#REF!,0))</f>
        <v>#REF!</v>
      </c>
      <c r="CL119" s="7" t="e">
        <f>IF(#REF!="","",IF(AND($CE119&gt;0,#REF!="CABERNET SAUVIGNON N"),#REF!,0))</f>
        <v>#REF!</v>
      </c>
      <c r="CM119" s="7" t="e">
        <f>IF(#REF!="","",IF(AND($CE119&gt;0,#REF!="VERMENTINO B"),#REF!,0))</f>
        <v>#REF!</v>
      </c>
      <c r="CN119" s="7" t="e">
        <f>IF(#REF!="","",IF(AND($CE119&gt;0,#REF!="UGNI BLANC B"),#REF!,0))</f>
        <v>#REF!</v>
      </c>
      <c r="CO119" s="7" t="e">
        <f>IF(#REF!="","",IF(AND($CE119&gt;0,#REF!="CLAIRETTE B"),#REF!,0))</f>
        <v>#REF!</v>
      </c>
      <c r="CP119" s="7" t="e">
        <f>IF(#REF!="","",IF(AND($CE119&gt;0,#REF!="semillon B"),#REF!,0))</f>
        <v>#REF!</v>
      </c>
      <c r="CQ119" s="7" t="e">
        <f>IF(#REF!="","",IF(CE119=0,CC119,0))</f>
        <v>#REF!</v>
      </c>
      <c r="CR119" s="17"/>
      <c r="DE119"/>
    </row>
    <row r="120" spans="81:109" x14ac:dyDescent="0.25">
      <c r="CC120" s="7" t="e">
        <f>IF(#REF!="","",IF(#REF!="PF",#REF!,0))</f>
        <v>#REF!</v>
      </c>
      <c r="CD120" s="7" t="e">
        <f>IF(#REF!="","",IF(#REF!="PF",IF((#REF!+4)&lt;YEAR(#REF!),0,#REF!),0))</f>
        <v>#REF!</v>
      </c>
      <c r="CE120" s="7" t="e">
        <f>IF(#REF!="","",IF(AND(CD120&gt;0,#REF!&lt;&gt;""),CC120,0))</f>
        <v>#REF!</v>
      </c>
      <c r="CF120" s="7" t="e">
        <f>IF(#REF!="","",IF(AND($CE120&gt;0,#REF!= "GRENACHE N"),#REF!,0))</f>
        <v>#REF!</v>
      </c>
      <c r="CG120" s="7" t="e">
        <f>IF(#REF!="","",IF(AND($CE120&gt;0,#REF!="SYRAH N"),#REF!,0))</f>
        <v>#REF!</v>
      </c>
      <c r="CH120" s="7" t="e">
        <f>IF(#REF!="","",IF(AND($CE120&gt;0,#REF!="CINSAUT N"),#REF!,0))</f>
        <v>#REF!</v>
      </c>
      <c r="CI120" s="7" t="e">
        <f>IF(#REF!="","",IF(AND($CE120&gt;0,#REF!="TIBOUREN N"),#REF!,0))</f>
        <v>#REF!</v>
      </c>
      <c r="CJ120" s="7" t="e">
        <f>IF(#REF!="","",IF(AND($CE120&gt;0,#REF!="MOURVEDRE N"),#REF!,0))</f>
        <v>#REF!</v>
      </c>
      <c r="CK120" s="7" t="e">
        <f>IF(#REF!="","",IF(AND($CE120&gt;0,#REF!="CARIGNAN N"),#REF!,0))</f>
        <v>#REF!</v>
      </c>
      <c r="CL120" s="7" t="e">
        <f>IF(#REF!="","",IF(AND($CE120&gt;0,#REF!="CABERNET SAUVIGNON N"),#REF!,0))</f>
        <v>#REF!</v>
      </c>
      <c r="CM120" s="7" t="e">
        <f>IF(#REF!="","",IF(AND($CE120&gt;0,#REF!="VERMENTINO B"),#REF!,0))</f>
        <v>#REF!</v>
      </c>
      <c r="CN120" s="7" t="e">
        <f>IF(#REF!="","",IF(AND($CE120&gt;0,#REF!="UGNI BLANC B"),#REF!,0))</f>
        <v>#REF!</v>
      </c>
      <c r="CO120" s="7" t="e">
        <f>IF(#REF!="","",IF(AND($CE120&gt;0,#REF!="CLAIRETTE B"),#REF!,0))</f>
        <v>#REF!</v>
      </c>
      <c r="CP120" s="7" t="e">
        <f>IF(#REF!="","",IF(AND($CE120&gt;0,#REF!="semillon B"),#REF!,0))</f>
        <v>#REF!</v>
      </c>
      <c r="CQ120" s="7" t="e">
        <f>IF(#REF!="","",IF(CE120=0,CC120,0))</f>
        <v>#REF!</v>
      </c>
      <c r="CR120" s="17"/>
      <c r="DE120"/>
    </row>
    <row r="121" spans="81:109" x14ac:dyDescent="0.25">
      <c r="CC121" s="7" t="e">
        <f>IF(#REF!="","",IF(#REF!="PF",#REF!,0))</f>
        <v>#REF!</v>
      </c>
      <c r="CD121" s="7" t="e">
        <f>IF(#REF!="","",IF(#REF!="PF",IF((#REF!+4)&lt;YEAR(#REF!),0,#REF!),0))</f>
        <v>#REF!</v>
      </c>
      <c r="CE121" s="7" t="e">
        <f>IF(#REF!="","",IF(AND(CD121&gt;0,#REF!&lt;&gt;""),CC121,0))</f>
        <v>#REF!</v>
      </c>
      <c r="CF121" s="7" t="e">
        <f>IF(#REF!="","",IF(AND($CE121&gt;0,#REF!= "GRENACHE N"),#REF!,0))</f>
        <v>#REF!</v>
      </c>
      <c r="CG121" s="7" t="e">
        <f>IF(#REF!="","",IF(AND($CE121&gt;0,#REF!="SYRAH N"),#REF!,0))</f>
        <v>#REF!</v>
      </c>
      <c r="CH121" s="7" t="e">
        <f>IF(#REF!="","",IF(AND($CE121&gt;0,#REF!="CINSAUT N"),#REF!,0))</f>
        <v>#REF!</v>
      </c>
      <c r="CI121" s="7" t="e">
        <f>IF(#REF!="","",IF(AND($CE121&gt;0,#REF!="TIBOUREN N"),#REF!,0))</f>
        <v>#REF!</v>
      </c>
      <c r="CJ121" s="7" t="e">
        <f>IF(#REF!="","",IF(AND($CE121&gt;0,#REF!="MOURVEDRE N"),#REF!,0))</f>
        <v>#REF!</v>
      </c>
      <c r="CK121" s="7" t="e">
        <f>IF(#REF!="","",IF(AND($CE121&gt;0,#REF!="CARIGNAN N"),#REF!,0))</f>
        <v>#REF!</v>
      </c>
      <c r="CL121" s="7" t="e">
        <f>IF(#REF!="","",IF(AND($CE121&gt;0,#REF!="CABERNET SAUVIGNON N"),#REF!,0))</f>
        <v>#REF!</v>
      </c>
      <c r="CM121" s="7" t="e">
        <f>IF(#REF!="","",IF(AND($CE121&gt;0,#REF!="VERMENTINO B"),#REF!,0))</f>
        <v>#REF!</v>
      </c>
      <c r="CN121" s="7" t="e">
        <f>IF(#REF!="","",IF(AND($CE121&gt;0,#REF!="UGNI BLANC B"),#REF!,0))</f>
        <v>#REF!</v>
      </c>
      <c r="CO121" s="7" t="e">
        <f>IF(#REF!="","",IF(AND($CE121&gt;0,#REF!="CLAIRETTE B"),#REF!,0))</f>
        <v>#REF!</v>
      </c>
      <c r="CP121" s="7" t="e">
        <f>IF(#REF!="","",IF(AND($CE121&gt;0,#REF!="semillon B"),#REF!,0))</f>
        <v>#REF!</v>
      </c>
      <c r="CQ121" s="7" t="e">
        <f>IF(#REF!="","",IF(CE121=0,CC121,0))</f>
        <v>#REF!</v>
      </c>
      <c r="CR121" s="17"/>
      <c r="DE121"/>
    </row>
    <row r="122" spans="81:109" x14ac:dyDescent="0.25">
      <c r="CC122" s="7" t="e">
        <f>IF(#REF!="","",IF(#REF!="PF",#REF!,0))</f>
        <v>#REF!</v>
      </c>
      <c r="CD122" s="7" t="e">
        <f>IF(#REF!="","",IF(#REF!="PF",IF((#REF!+4)&lt;YEAR(#REF!),0,#REF!),0))</f>
        <v>#REF!</v>
      </c>
      <c r="CE122" s="7" t="e">
        <f>IF(#REF!="","",IF(AND(CD122&gt;0,#REF!&lt;&gt;""),CC122,0))</f>
        <v>#REF!</v>
      </c>
      <c r="CF122" s="7" t="e">
        <f>IF(#REF!="","",IF(AND($CE122&gt;0,#REF!= "GRENACHE N"),#REF!,0))</f>
        <v>#REF!</v>
      </c>
      <c r="CG122" s="7" t="e">
        <f>IF(#REF!="","",IF(AND($CE122&gt;0,#REF!="SYRAH N"),#REF!,0))</f>
        <v>#REF!</v>
      </c>
      <c r="CH122" s="7" t="e">
        <f>IF(#REF!="","",IF(AND($CE122&gt;0,#REF!="CINSAUT N"),#REF!,0))</f>
        <v>#REF!</v>
      </c>
      <c r="CI122" s="7" t="e">
        <f>IF(#REF!="","",IF(AND($CE122&gt;0,#REF!="TIBOUREN N"),#REF!,0))</f>
        <v>#REF!</v>
      </c>
      <c r="CJ122" s="7" t="e">
        <f>IF(#REF!="","",IF(AND($CE122&gt;0,#REF!="MOURVEDRE N"),#REF!,0))</f>
        <v>#REF!</v>
      </c>
      <c r="CK122" s="7" t="e">
        <f>IF(#REF!="","",IF(AND($CE122&gt;0,#REF!="CARIGNAN N"),#REF!,0))</f>
        <v>#REF!</v>
      </c>
      <c r="CL122" s="7" t="e">
        <f>IF(#REF!="","",IF(AND($CE122&gt;0,#REF!="CABERNET SAUVIGNON N"),#REF!,0))</f>
        <v>#REF!</v>
      </c>
      <c r="CM122" s="7" t="e">
        <f>IF(#REF!="","",IF(AND($CE122&gt;0,#REF!="VERMENTINO B"),#REF!,0))</f>
        <v>#REF!</v>
      </c>
      <c r="CN122" s="7" t="e">
        <f>IF(#REF!="","",IF(AND($CE122&gt;0,#REF!="UGNI BLANC B"),#REF!,0))</f>
        <v>#REF!</v>
      </c>
      <c r="CO122" s="7" t="e">
        <f>IF(#REF!="","",IF(AND($CE122&gt;0,#REF!="CLAIRETTE B"),#REF!,0))</f>
        <v>#REF!</v>
      </c>
      <c r="CP122" s="7" t="e">
        <f>IF(#REF!="","",IF(AND($CE122&gt;0,#REF!="semillon B"),#REF!,0))</f>
        <v>#REF!</v>
      </c>
      <c r="CQ122" s="7" t="e">
        <f>IF(#REF!="","",IF(CE122=0,CC122,0))</f>
        <v>#REF!</v>
      </c>
      <c r="CR122" s="17"/>
      <c r="DE122"/>
    </row>
    <row r="123" spans="81:109" x14ac:dyDescent="0.25">
      <c r="CC123" s="7" t="e">
        <f>IF(#REF!="","",IF(#REF!="PF",#REF!,0))</f>
        <v>#REF!</v>
      </c>
      <c r="CD123" s="7" t="e">
        <f>IF(#REF!="","",IF(#REF!="PF",IF((#REF!+4)&lt;YEAR(#REF!),0,#REF!),0))</f>
        <v>#REF!</v>
      </c>
      <c r="CE123" s="7" t="e">
        <f>IF(#REF!="","",IF(AND(CD123&gt;0,#REF!&lt;&gt;""),CC123,0))</f>
        <v>#REF!</v>
      </c>
      <c r="CF123" s="7" t="e">
        <f>IF(#REF!="","",IF(AND($CE123&gt;0,#REF!= "GRENACHE N"),#REF!,0))</f>
        <v>#REF!</v>
      </c>
      <c r="CG123" s="7" t="e">
        <f>IF(#REF!="","",IF(AND($CE123&gt;0,#REF!="SYRAH N"),#REF!,0))</f>
        <v>#REF!</v>
      </c>
      <c r="CH123" s="7" t="e">
        <f>IF(#REF!="","",IF(AND($CE123&gt;0,#REF!="CINSAUT N"),#REF!,0))</f>
        <v>#REF!</v>
      </c>
      <c r="CI123" s="7" t="e">
        <f>IF(#REF!="","",IF(AND($CE123&gt;0,#REF!="TIBOUREN N"),#REF!,0))</f>
        <v>#REF!</v>
      </c>
      <c r="CJ123" s="7" t="e">
        <f>IF(#REF!="","",IF(AND($CE123&gt;0,#REF!="MOURVEDRE N"),#REF!,0))</f>
        <v>#REF!</v>
      </c>
      <c r="CK123" s="7" t="e">
        <f>IF(#REF!="","",IF(AND($CE123&gt;0,#REF!="CARIGNAN N"),#REF!,0))</f>
        <v>#REF!</v>
      </c>
      <c r="CL123" s="7" t="e">
        <f>IF(#REF!="","",IF(AND($CE123&gt;0,#REF!="CABERNET SAUVIGNON N"),#REF!,0))</f>
        <v>#REF!</v>
      </c>
      <c r="CM123" s="7" t="e">
        <f>IF(#REF!="","",IF(AND($CE123&gt;0,#REF!="VERMENTINO B"),#REF!,0))</f>
        <v>#REF!</v>
      </c>
      <c r="CN123" s="7" t="e">
        <f>IF(#REF!="","",IF(AND($CE123&gt;0,#REF!="UGNI BLANC B"),#REF!,0))</f>
        <v>#REF!</v>
      </c>
      <c r="CO123" s="7" t="e">
        <f>IF(#REF!="","",IF(AND($CE123&gt;0,#REF!="CLAIRETTE B"),#REF!,0))</f>
        <v>#REF!</v>
      </c>
      <c r="CP123" s="7" t="e">
        <f>IF(#REF!="","",IF(AND($CE123&gt;0,#REF!="semillon B"),#REF!,0))</f>
        <v>#REF!</v>
      </c>
      <c r="CQ123" s="7" t="e">
        <f>IF(#REF!="","",IF(CE123=0,CC123,0))</f>
        <v>#REF!</v>
      </c>
      <c r="CR123" s="17"/>
      <c r="DE123"/>
    </row>
    <row r="124" spans="81:109" x14ac:dyDescent="0.25">
      <c r="CC124" s="7" t="e">
        <f>IF(#REF!="","",IF(#REF!="PF",#REF!,0))</f>
        <v>#REF!</v>
      </c>
      <c r="CD124" s="7" t="e">
        <f>IF(#REF!="","",IF(#REF!="PF",IF((#REF!+4)&lt;YEAR(#REF!),0,#REF!),0))</f>
        <v>#REF!</v>
      </c>
      <c r="CE124" s="7" t="e">
        <f>IF(#REF!="","",IF(AND(CD124&gt;0,#REF!&lt;&gt;""),CC124,0))</f>
        <v>#REF!</v>
      </c>
      <c r="CF124" s="7" t="e">
        <f>IF(#REF!="","",IF(AND($CE124&gt;0,#REF!= "GRENACHE N"),#REF!,0))</f>
        <v>#REF!</v>
      </c>
      <c r="CG124" s="7" t="e">
        <f>IF(#REF!="","",IF(AND($CE124&gt;0,#REF!="SYRAH N"),#REF!,0))</f>
        <v>#REF!</v>
      </c>
      <c r="CH124" s="7" t="e">
        <f>IF(#REF!="","",IF(AND($CE124&gt;0,#REF!="CINSAUT N"),#REF!,0))</f>
        <v>#REF!</v>
      </c>
      <c r="CI124" s="7" t="e">
        <f>IF(#REF!="","",IF(AND($CE124&gt;0,#REF!="TIBOUREN N"),#REF!,0))</f>
        <v>#REF!</v>
      </c>
      <c r="CJ124" s="7" t="e">
        <f>IF(#REF!="","",IF(AND($CE124&gt;0,#REF!="MOURVEDRE N"),#REF!,0))</f>
        <v>#REF!</v>
      </c>
      <c r="CK124" s="7" t="e">
        <f>IF(#REF!="","",IF(AND($CE124&gt;0,#REF!="CARIGNAN N"),#REF!,0))</f>
        <v>#REF!</v>
      </c>
      <c r="CL124" s="7" t="e">
        <f>IF(#REF!="","",IF(AND($CE124&gt;0,#REF!="CABERNET SAUVIGNON N"),#REF!,0))</f>
        <v>#REF!</v>
      </c>
      <c r="CM124" s="7" t="e">
        <f>IF(#REF!="","",IF(AND($CE124&gt;0,#REF!="VERMENTINO B"),#REF!,0))</f>
        <v>#REF!</v>
      </c>
      <c r="CN124" s="7" t="e">
        <f>IF(#REF!="","",IF(AND($CE124&gt;0,#REF!="UGNI BLANC B"),#REF!,0))</f>
        <v>#REF!</v>
      </c>
      <c r="CO124" s="7" t="e">
        <f>IF(#REF!="","",IF(AND($CE124&gt;0,#REF!="CLAIRETTE B"),#REF!,0))</f>
        <v>#REF!</v>
      </c>
      <c r="CP124" s="7" t="e">
        <f>IF(#REF!="","",IF(AND($CE124&gt;0,#REF!="semillon B"),#REF!,0))</f>
        <v>#REF!</v>
      </c>
      <c r="CQ124" s="7" t="e">
        <f>IF(#REF!="","",IF(CE124=0,CC124,0))</f>
        <v>#REF!</v>
      </c>
      <c r="CR124" s="17"/>
      <c r="DE124"/>
    </row>
    <row r="125" spans="81:109" x14ac:dyDescent="0.25">
      <c r="CC125" s="7" t="e">
        <f>IF(#REF!="","",IF(#REF!="PF",#REF!,0))</f>
        <v>#REF!</v>
      </c>
      <c r="CD125" s="7" t="e">
        <f>IF(#REF!="","",IF(#REF!="PF",IF((#REF!+4)&lt;YEAR(#REF!),0,#REF!),0))</f>
        <v>#REF!</v>
      </c>
      <c r="CE125" s="7" t="e">
        <f>IF(#REF!="","",IF(AND(CD125&gt;0,#REF!&lt;&gt;""),CC125,0))</f>
        <v>#REF!</v>
      </c>
      <c r="CF125" s="7" t="e">
        <f>IF(#REF!="","",IF(AND($CE125&gt;0,#REF!= "GRENACHE N"),#REF!,0))</f>
        <v>#REF!</v>
      </c>
      <c r="CG125" s="7" t="e">
        <f>IF(#REF!="","",IF(AND($CE125&gt;0,#REF!="SYRAH N"),#REF!,0))</f>
        <v>#REF!</v>
      </c>
      <c r="CH125" s="7" t="e">
        <f>IF(#REF!="","",IF(AND($CE125&gt;0,#REF!="CINSAUT N"),#REF!,0))</f>
        <v>#REF!</v>
      </c>
      <c r="CI125" s="7" t="e">
        <f>IF(#REF!="","",IF(AND($CE125&gt;0,#REF!="TIBOUREN N"),#REF!,0))</f>
        <v>#REF!</v>
      </c>
      <c r="CJ125" s="7" t="e">
        <f>IF(#REF!="","",IF(AND($CE125&gt;0,#REF!="MOURVEDRE N"),#REF!,0))</f>
        <v>#REF!</v>
      </c>
      <c r="CK125" s="7" t="e">
        <f>IF(#REF!="","",IF(AND($CE125&gt;0,#REF!="CARIGNAN N"),#REF!,0))</f>
        <v>#REF!</v>
      </c>
      <c r="CL125" s="7" t="e">
        <f>IF(#REF!="","",IF(AND($CE125&gt;0,#REF!="CABERNET SAUVIGNON N"),#REF!,0))</f>
        <v>#REF!</v>
      </c>
      <c r="CM125" s="7" t="e">
        <f>IF(#REF!="","",IF(AND($CE125&gt;0,#REF!="VERMENTINO B"),#REF!,0))</f>
        <v>#REF!</v>
      </c>
      <c r="CN125" s="7" t="e">
        <f>IF(#REF!="","",IF(AND($CE125&gt;0,#REF!="UGNI BLANC B"),#REF!,0))</f>
        <v>#REF!</v>
      </c>
      <c r="CO125" s="7" t="e">
        <f>IF(#REF!="","",IF(AND($CE125&gt;0,#REF!="CLAIRETTE B"),#REF!,0))</f>
        <v>#REF!</v>
      </c>
      <c r="CP125" s="7" t="e">
        <f>IF(#REF!="","",IF(AND($CE125&gt;0,#REF!="semillon B"),#REF!,0))</f>
        <v>#REF!</v>
      </c>
      <c r="CQ125" s="7" t="e">
        <f>IF(#REF!="","",IF(CE125=0,CC125,0))</f>
        <v>#REF!</v>
      </c>
      <c r="CR125" s="17"/>
      <c r="DE125"/>
    </row>
    <row r="126" spans="81:109" x14ac:dyDescent="0.25">
      <c r="CC126" s="7" t="e">
        <f>IF(#REF!="","",IF(#REF!="PF",#REF!,0))</f>
        <v>#REF!</v>
      </c>
      <c r="CD126" s="7" t="e">
        <f>IF(#REF!="","",IF(#REF!="PF",IF((#REF!+4)&lt;YEAR(#REF!),0,#REF!),0))</f>
        <v>#REF!</v>
      </c>
      <c r="CE126" s="7" t="e">
        <f>IF(#REF!="","",IF(AND(CD126&gt;0,#REF!&lt;&gt;""),CC126,0))</f>
        <v>#REF!</v>
      </c>
      <c r="CF126" s="7" t="e">
        <f>IF(#REF!="","",IF(AND($CE126&gt;0,#REF!= "GRENACHE N"),#REF!,0))</f>
        <v>#REF!</v>
      </c>
      <c r="CG126" s="7" t="e">
        <f>IF(#REF!="","",IF(AND($CE126&gt;0,#REF!="SYRAH N"),#REF!,0))</f>
        <v>#REF!</v>
      </c>
      <c r="CH126" s="7" t="e">
        <f>IF(#REF!="","",IF(AND($CE126&gt;0,#REF!="CINSAUT N"),#REF!,0))</f>
        <v>#REF!</v>
      </c>
      <c r="CI126" s="7" t="e">
        <f>IF(#REF!="","",IF(AND($CE126&gt;0,#REF!="TIBOUREN N"),#REF!,0))</f>
        <v>#REF!</v>
      </c>
      <c r="CJ126" s="7" t="e">
        <f>IF(#REF!="","",IF(AND($CE126&gt;0,#REF!="MOURVEDRE N"),#REF!,0))</f>
        <v>#REF!</v>
      </c>
      <c r="CK126" s="7" t="e">
        <f>IF(#REF!="","",IF(AND($CE126&gt;0,#REF!="CARIGNAN N"),#REF!,0))</f>
        <v>#REF!</v>
      </c>
      <c r="CL126" s="7" t="e">
        <f>IF(#REF!="","",IF(AND($CE126&gt;0,#REF!="CABERNET SAUVIGNON N"),#REF!,0))</f>
        <v>#REF!</v>
      </c>
      <c r="CM126" s="7" t="e">
        <f>IF(#REF!="","",IF(AND($CE126&gt;0,#REF!="VERMENTINO B"),#REF!,0))</f>
        <v>#REF!</v>
      </c>
      <c r="CN126" s="7" t="e">
        <f>IF(#REF!="","",IF(AND($CE126&gt;0,#REF!="UGNI BLANC B"),#REF!,0))</f>
        <v>#REF!</v>
      </c>
      <c r="CO126" s="7" t="e">
        <f>IF(#REF!="","",IF(AND($CE126&gt;0,#REF!="CLAIRETTE B"),#REF!,0))</f>
        <v>#REF!</v>
      </c>
      <c r="CP126" s="7" t="e">
        <f>IF(#REF!="","",IF(AND($CE126&gt;0,#REF!="semillon B"),#REF!,0))</f>
        <v>#REF!</v>
      </c>
      <c r="CQ126" s="7" t="e">
        <f>IF(#REF!="","",IF(CE126=0,CC126,0))</f>
        <v>#REF!</v>
      </c>
      <c r="CR126" s="17"/>
      <c r="DE126"/>
    </row>
    <row r="127" spans="81:109" x14ac:dyDescent="0.25">
      <c r="CC127" s="7" t="e">
        <f>IF(#REF!="","",IF(#REF!="PF",#REF!,0))</f>
        <v>#REF!</v>
      </c>
      <c r="CD127" s="7" t="e">
        <f>IF(#REF!="","",IF(#REF!="PF",IF((#REF!+4)&lt;YEAR(#REF!),0,#REF!),0))</f>
        <v>#REF!</v>
      </c>
      <c r="CE127" s="7" t="e">
        <f>IF(#REF!="","",IF(AND(CD127&gt;0,#REF!&lt;&gt;""),CC127,0))</f>
        <v>#REF!</v>
      </c>
      <c r="CF127" s="7" t="e">
        <f>IF(#REF!="","",IF(AND($CE127&gt;0,#REF!= "GRENACHE N"),#REF!,0))</f>
        <v>#REF!</v>
      </c>
      <c r="CG127" s="7" t="e">
        <f>IF(#REF!="","",IF(AND($CE127&gt;0,#REF!="SYRAH N"),#REF!,0))</f>
        <v>#REF!</v>
      </c>
      <c r="CH127" s="7" t="e">
        <f>IF(#REF!="","",IF(AND($CE127&gt;0,#REF!="CINSAUT N"),#REF!,0))</f>
        <v>#REF!</v>
      </c>
      <c r="CI127" s="7" t="e">
        <f>IF(#REF!="","",IF(AND($CE127&gt;0,#REF!="TIBOUREN N"),#REF!,0))</f>
        <v>#REF!</v>
      </c>
      <c r="CJ127" s="7" t="e">
        <f>IF(#REF!="","",IF(AND($CE127&gt;0,#REF!="MOURVEDRE N"),#REF!,0))</f>
        <v>#REF!</v>
      </c>
      <c r="CK127" s="7" t="e">
        <f>IF(#REF!="","",IF(AND($CE127&gt;0,#REF!="CARIGNAN N"),#REF!,0))</f>
        <v>#REF!</v>
      </c>
      <c r="CL127" s="7" t="e">
        <f>IF(#REF!="","",IF(AND($CE127&gt;0,#REF!="CABERNET SAUVIGNON N"),#REF!,0))</f>
        <v>#REF!</v>
      </c>
      <c r="CM127" s="7" t="e">
        <f>IF(#REF!="","",IF(AND($CE127&gt;0,#REF!="VERMENTINO B"),#REF!,0))</f>
        <v>#REF!</v>
      </c>
      <c r="CN127" s="7" t="e">
        <f>IF(#REF!="","",IF(AND($CE127&gt;0,#REF!="UGNI BLANC B"),#REF!,0))</f>
        <v>#REF!</v>
      </c>
      <c r="CO127" s="7" t="e">
        <f>IF(#REF!="","",IF(AND($CE127&gt;0,#REF!="CLAIRETTE B"),#REF!,0))</f>
        <v>#REF!</v>
      </c>
      <c r="CP127" s="7" t="e">
        <f>IF(#REF!="","",IF(AND($CE127&gt;0,#REF!="semillon B"),#REF!,0))</f>
        <v>#REF!</v>
      </c>
      <c r="CQ127" s="7" t="e">
        <f>IF(#REF!="","",IF(CE127=0,CC127,0))</f>
        <v>#REF!</v>
      </c>
      <c r="CR127" s="17"/>
      <c r="DE127"/>
    </row>
    <row r="128" spans="81:109" x14ac:dyDescent="0.25">
      <c r="CC128" s="7" t="e">
        <f>IF(#REF!="","",IF(#REF!="PF",#REF!,0))</f>
        <v>#REF!</v>
      </c>
      <c r="CD128" s="7" t="e">
        <f>IF(#REF!="","",IF(#REF!="PF",IF((#REF!+4)&lt;YEAR(#REF!),0,#REF!),0))</f>
        <v>#REF!</v>
      </c>
      <c r="CE128" s="7" t="e">
        <f>IF(#REF!="","",IF(AND(CD128&gt;0,#REF!&lt;&gt;""),CC128,0))</f>
        <v>#REF!</v>
      </c>
      <c r="CF128" s="7" t="e">
        <f>IF(#REF!="","",IF(AND($CE128&gt;0,#REF!= "GRENACHE N"),#REF!,0))</f>
        <v>#REF!</v>
      </c>
      <c r="CG128" s="7" t="e">
        <f>IF(#REF!="","",IF(AND($CE128&gt;0,#REF!="SYRAH N"),#REF!,0))</f>
        <v>#REF!</v>
      </c>
      <c r="CH128" s="7" t="e">
        <f>IF(#REF!="","",IF(AND($CE128&gt;0,#REF!="CINSAUT N"),#REF!,0))</f>
        <v>#REF!</v>
      </c>
      <c r="CI128" s="7" t="e">
        <f>IF(#REF!="","",IF(AND($CE128&gt;0,#REF!="TIBOUREN N"),#REF!,0))</f>
        <v>#REF!</v>
      </c>
      <c r="CJ128" s="7" t="e">
        <f>IF(#REF!="","",IF(AND($CE128&gt;0,#REF!="MOURVEDRE N"),#REF!,0))</f>
        <v>#REF!</v>
      </c>
      <c r="CK128" s="7" t="e">
        <f>IF(#REF!="","",IF(AND($CE128&gt;0,#REF!="CARIGNAN N"),#REF!,0))</f>
        <v>#REF!</v>
      </c>
      <c r="CL128" s="7" t="e">
        <f>IF(#REF!="","",IF(AND($CE128&gt;0,#REF!="CABERNET SAUVIGNON N"),#REF!,0))</f>
        <v>#REF!</v>
      </c>
      <c r="CM128" s="7" t="e">
        <f>IF(#REF!="","",IF(AND($CE128&gt;0,#REF!="VERMENTINO B"),#REF!,0))</f>
        <v>#REF!</v>
      </c>
      <c r="CN128" s="7" t="e">
        <f>IF(#REF!="","",IF(AND($CE128&gt;0,#REF!="UGNI BLANC B"),#REF!,0))</f>
        <v>#REF!</v>
      </c>
      <c r="CO128" s="7" t="e">
        <f>IF(#REF!="","",IF(AND($CE128&gt;0,#REF!="CLAIRETTE B"),#REF!,0))</f>
        <v>#REF!</v>
      </c>
      <c r="CP128" s="7" t="e">
        <f>IF(#REF!="","",IF(AND($CE128&gt;0,#REF!="semillon B"),#REF!,0))</f>
        <v>#REF!</v>
      </c>
      <c r="CQ128" s="7" t="e">
        <f>IF(#REF!="","",IF(CE128=0,CC128,0))</f>
        <v>#REF!</v>
      </c>
      <c r="CR128" s="17"/>
      <c r="DE128"/>
    </row>
    <row r="129" spans="81:109" x14ac:dyDescent="0.25">
      <c r="CC129" s="7" t="e">
        <f>IF(#REF!="","",IF(#REF!="PF",#REF!,0))</f>
        <v>#REF!</v>
      </c>
      <c r="CD129" s="7" t="e">
        <f>IF(#REF!="","",IF(#REF!="PF",IF((#REF!+4)&lt;YEAR(#REF!),0,#REF!),0))</f>
        <v>#REF!</v>
      </c>
      <c r="CE129" s="7" t="e">
        <f>IF(#REF!="","",IF(AND(CD129&gt;0,#REF!&lt;&gt;""),CC129,0))</f>
        <v>#REF!</v>
      </c>
      <c r="CF129" s="7" t="e">
        <f>IF(#REF!="","",IF(AND($CE129&gt;0,#REF!= "GRENACHE N"),#REF!,0))</f>
        <v>#REF!</v>
      </c>
      <c r="CG129" s="7" t="e">
        <f>IF(#REF!="","",IF(AND($CE129&gt;0,#REF!="SYRAH N"),#REF!,0))</f>
        <v>#REF!</v>
      </c>
      <c r="CH129" s="7" t="e">
        <f>IF(#REF!="","",IF(AND($CE129&gt;0,#REF!="CINSAUT N"),#REF!,0))</f>
        <v>#REF!</v>
      </c>
      <c r="CI129" s="7" t="e">
        <f>IF(#REF!="","",IF(AND($CE129&gt;0,#REF!="TIBOUREN N"),#REF!,0))</f>
        <v>#REF!</v>
      </c>
      <c r="CJ129" s="7" t="e">
        <f>IF(#REF!="","",IF(AND($CE129&gt;0,#REF!="MOURVEDRE N"),#REF!,0))</f>
        <v>#REF!</v>
      </c>
      <c r="CK129" s="7" t="e">
        <f>IF(#REF!="","",IF(AND($CE129&gt;0,#REF!="CARIGNAN N"),#REF!,0))</f>
        <v>#REF!</v>
      </c>
      <c r="CL129" s="7" t="e">
        <f>IF(#REF!="","",IF(AND($CE129&gt;0,#REF!="CABERNET SAUVIGNON N"),#REF!,0))</f>
        <v>#REF!</v>
      </c>
      <c r="CM129" s="7" t="e">
        <f>IF(#REF!="","",IF(AND($CE129&gt;0,#REF!="VERMENTINO B"),#REF!,0))</f>
        <v>#REF!</v>
      </c>
      <c r="CN129" s="7" t="e">
        <f>IF(#REF!="","",IF(AND($CE129&gt;0,#REF!="UGNI BLANC B"),#REF!,0))</f>
        <v>#REF!</v>
      </c>
      <c r="CO129" s="7" t="e">
        <f>IF(#REF!="","",IF(AND($CE129&gt;0,#REF!="CLAIRETTE B"),#REF!,0))</f>
        <v>#REF!</v>
      </c>
      <c r="CP129" s="7" t="e">
        <f>IF(#REF!="","",IF(AND($CE129&gt;0,#REF!="semillon B"),#REF!,0))</f>
        <v>#REF!</v>
      </c>
      <c r="CQ129" s="7" t="e">
        <f>IF(#REF!="","",IF(CE129=0,CC129,0))</f>
        <v>#REF!</v>
      </c>
      <c r="CR129" s="17"/>
      <c r="DE129"/>
    </row>
    <row r="130" spans="81:109" x14ac:dyDescent="0.25">
      <c r="CC130" s="7" t="e">
        <f>IF(#REF!="","",IF(#REF!="PF",#REF!,0))</f>
        <v>#REF!</v>
      </c>
      <c r="CD130" s="7" t="e">
        <f>IF(#REF!="","",IF(#REF!="PF",IF((#REF!+4)&lt;YEAR(#REF!),0,#REF!),0))</f>
        <v>#REF!</v>
      </c>
      <c r="CE130" s="7" t="e">
        <f>IF(#REF!="","",IF(AND(CD130&gt;0,#REF!&lt;&gt;""),CC130,0))</f>
        <v>#REF!</v>
      </c>
      <c r="CF130" s="7" t="e">
        <f>IF(#REF!="","",IF(AND($CE130&gt;0,#REF!= "GRENACHE N"),#REF!,0))</f>
        <v>#REF!</v>
      </c>
      <c r="CG130" s="7" t="e">
        <f>IF(#REF!="","",IF(AND($CE130&gt;0,#REF!="SYRAH N"),#REF!,0))</f>
        <v>#REF!</v>
      </c>
      <c r="CH130" s="7" t="e">
        <f>IF(#REF!="","",IF(AND($CE130&gt;0,#REF!="CINSAUT N"),#REF!,0))</f>
        <v>#REF!</v>
      </c>
      <c r="CI130" s="7" t="e">
        <f>IF(#REF!="","",IF(AND($CE130&gt;0,#REF!="TIBOUREN N"),#REF!,0))</f>
        <v>#REF!</v>
      </c>
      <c r="CJ130" s="7" t="e">
        <f>IF(#REF!="","",IF(AND($CE130&gt;0,#REF!="MOURVEDRE N"),#REF!,0))</f>
        <v>#REF!</v>
      </c>
      <c r="CK130" s="7" t="e">
        <f>IF(#REF!="","",IF(AND($CE130&gt;0,#REF!="CARIGNAN N"),#REF!,0))</f>
        <v>#REF!</v>
      </c>
      <c r="CL130" s="7" t="e">
        <f>IF(#REF!="","",IF(AND($CE130&gt;0,#REF!="CABERNET SAUVIGNON N"),#REF!,0))</f>
        <v>#REF!</v>
      </c>
      <c r="CM130" s="7" t="e">
        <f>IF(#REF!="","",IF(AND($CE130&gt;0,#REF!="VERMENTINO B"),#REF!,0))</f>
        <v>#REF!</v>
      </c>
      <c r="CN130" s="7" t="e">
        <f>IF(#REF!="","",IF(AND($CE130&gt;0,#REF!="UGNI BLANC B"),#REF!,0))</f>
        <v>#REF!</v>
      </c>
      <c r="CO130" s="7" t="e">
        <f>IF(#REF!="","",IF(AND($CE130&gt;0,#REF!="CLAIRETTE B"),#REF!,0))</f>
        <v>#REF!</v>
      </c>
      <c r="CP130" s="7" t="e">
        <f>IF(#REF!="","",IF(AND($CE130&gt;0,#REF!="semillon B"),#REF!,0))</f>
        <v>#REF!</v>
      </c>
      <c r="CQ130" s="7" t="e">
        <f>IF(#REF!="","",IF(CE130=0,CC130,0))</f>
        <v>#REF!</v>
      </c>
      <c r="CR130" s="17"/>
      <c r="DE130"/>
    </row>
    <row r="131" spans="81:109" x14ac:dyDescent="0.25">
      <c r="CC131" s="7" t="e">
        <f>IF(#REF!="","",IF(#REF!="PF",#REF!,0))</f>
        <v>#REF!</v>
      </c>
      <c r="CD131" s="7" t="e">
        <f>IF(#REF!="","",IF(#REF!="PF",IF((#REF!+4)&lt;YEAR(#REF!),0,#REF!),0))</f>
        <v>#REF!</v>
      </c>
      <c r="CE131" s="7" t="e">
        <f>IF(#REF!="","",IF(AND(CD131&gt;0,#REF!&lt;&gt;""),CC131,0))</f>
        <v>#REF!</v>
      </c>
      <c r="CF131" s="7" t="e">
        <f>IF(#REF!="","",IF(AND($CE131&gt;0,#REF!= "GRENACHE N"),#REF!,0))</f>
        <v>#REF!</v>
      </c>
      <c r="CG131" s="7" t="e">
        <f>IF(#REF!="","",IF(AND($CE131&gt;0,#REF!="SYRAH N"),#REF!,0))</f>
        <v>#REF!</v>
      </c>
      <c r="CH131" s="7" t="e">
        <f>IF(#REF!="","",IF(AND($CE131&gt;0,#REF!="CINSAUT N"),#REF!,0))</f>
        <v>#REF!</v>
      </c>
      <c r="CI131" s="7" t="e">
        <f>IF(#REF!="","",IF(AND($CE131&gt;0,#REF!="TIBOUREN N"),#REF!,0))</f>
        <v>#REF!</v>
      </c>
      <c r="CJ131" s="7" t="e">
        <f>IF(#REF!="","",IF(AND($CE131&gt;0,#REF!="MOURVEDRE N"),#REF!,0))</f>
        <v>#REF!</v>
      </c>
      <c r="CK131" s="7" t="e">
        <f>IF(#REF!="","",IF(AND($CE131&gt;0,#REF!="CARIGNAN N"),#REF!,0))</f>
        <v>#REF!</v>
      </c>
      <c r="CL131" s="7" t="e">
        <f>IF(#REF!="","",IF(AND($CE131&gt;0,#REF!="CABERNET SAUVIGNON N"),#REF!,0))</f>
        <v>#REF!</v>
      </c>
      <c r="CM131" s="7" t="e">
        <f>IF(#REF!="","",IF(AND($CE131&gt;0,#REF!="VERMENTINO B"),#REF!,0))</f>
        <v>#REF!</v>
      </c>
      <c r="CN131" s="7" t="e">
        <f>IF(#REF!="","",IF(AND($CE131&gt;0,#REF!="UGNI BLANC B"),#REF!,0))</f>
        <v>#REF!</v>
      </c>
      <c r="CO131" s="7" t="e">
        <f>IF(#REF!="","",IF(AND($CE131&gt;0,#REF!="CLAIRETTE B"),#REF!,0))</f>
        <v>#REF!</v>
      </c>
      <c r="CP131" s="7" t="e">
        <f>IF(#REF!="","",IF(AND($CE131&gt;0,#REF!="semillon B"),#REF!,0))</f>
        <v>#REF!</v>
      </c>
      <c r="CQ131" s="7" t="e">
        <f>IF(#REF!="","",IF(CE131=0,CC131,0))</f>
        <v>#REF!</v>
      </c>
      <c r="CR131" s="17"/>
      <c r="DE131"/>
    </row>
    <row r="132" spans="81:109" x14ac:dyDescent="0.25">
      <c r="CC132" s="7" t="e">
        <f>IF(#REF!="","",IF(#REF!="PF",#REF!,0))</f>
        <v>#REF!</v>
      </c>
      <c r="CD132" s="7" t="e">
        <f>IF(#REF!="","",IF(#REF!="PF",IF((#REF!+4)&lt;YEAR(#REF!),0,#REF!),0))</f>
        <v>#REF!</v>
      </c>
      <c r="CE132" s="7" t="e">
        <f>IF(#REF!="","",IF(AND(CD132&gt;0,#REF!&lt;&gt;""),CC132,0))</f>
        <v>#REF!</v>
      </c>
      <c r="CF132" s="7" t="e">
        <f>IF(#REF!="","",IF(AND($CE132&gt;0,#REF!= "GRENACHE N"),#REF!,0))</f>
        <v>#REF!</v>
      </c>
      <c r="CG132" s="7" t="e">
        <f>IF(#REF!="","",IF(AND($CE132&gt;0,#REF!="SYRAH N"),#REF!,0))</f>
        <v>#REF!</v>
      </c>
      <c r="CH132" s="7" t="e">
        <f>IF(#REF!="","",IF(AND($CE132&gt;0,#REF!="CINSAUT N"),#REF!,0))</f>
        <v>#REF!</v>
      </c>
      <c r="CI132" s="7" t="e">
        <f>IF(#REF!="","",IF(AND($CE132&gt;0,#REF!="TIBOUREN N"),#REF!,0))</f>
        <v>#REF!</v>
      </c>
      <c r="CJ132" s="7" t="e">
        <f>IF(#REF!="","",IF(AND($CE132&gt;0,#REF!="MOURVEDRE N"),#REF!,0))</f>
        <v>#REF!</v>
      </c>
      <c r="CK132" s="7" t="e">
        <f>IF(#REF!="","",IF(AND($CE132&gt;0,#REF!="CARIGNAN N"),#REF!,0))</f>
        <v>#REF!</v>
      </c>
      <c r="CL132" s="7" t="e">
        <f>IF(#REF!="","",IF(AND($CE132&gt;0,#REF!="CABERNET SAUVIGNON N"),#REF!,0))</f>
        <v>#REF!</v>
      </c>
      <c r="CM132" s="7" t="e">
        <f>IF(#REF!="","",IF(AND($CE132&gt;0,#REF!="VERMENTINO B"),#REF!,0))</f>
        <v>#REF!</v>
      </c>
      <c r="CN132" s="7" t="e">
        <f>IF(#REF!="","",IF(AND($CE132&gt;0,#REF!="UGNI BLANC B"),#REF!,0))</f>
        <v>#REF!</v>
      </c>
      <c r="CO132" s="7" t="e">
        <f>IF(#REF!="","",IF(AND($CE132&gt;0,#REF!="CLAIRETTE B"),#REF!,0))</f>
        <v>#REF!</v>
      </c>
      <c r="CP132" s="7" t="e">
        <f>IF(#REF!="","",IF(AND($CE132&gt;0,#REF!="semillon B"),#REF!,0))</f>
        <v>#REF!</v>
      </c>
      <c r="CQ132" s="7" t="e">
        <f>IF(#REF!="","",IF(CE132=0,CC132,0))</f>
        <v>#REF!</v>
      </c>
      <c r="CR132" s="17"/>
      <c r="DE132"/>
    </row>
    <row r="133" spans="81:109" x14ac:dyDescent="0.25">
      <c r="CC133" s="7" t="e">
        <f>IF(#REF!="","",IF(#REF!="PF",#REF!,0))</f>
        <v>#REF!</v>
      </c>
      <c r="CD133" s="7" t="e">
        <f>IF(#REF!="","",IF(#REF!="PF",IF((#REF!+4)&lt;YEAR(#REF!),0,#REF!),0))</f>
        <v>#REF!</v>
      </c>
      <c r="CE133" s="7" t="e">
        <f>IF(#REF!="","",IF(AND(CD133&gt;0,#REF!&lt;&gt;""),CC133,0))</f>
        <v>#REF!</v>
      </c>
      <c r="CF133" s="7" t="e">
        <f>IF(#REF!="","",IF(AND($CE133&gt;0,#REF!= "GRENACHE N"),#REF!,0))</f>
        <v>#REF!</v>
      </c>
      <c r="CG133" s="7" t="e">
        <f>IF(#REF!="","",IF(AND($CE133&gt;0,#REF!="SYRAH N"),#REF!,0))</f>
        <v>#REF!</v>
      </c>
      <c r="CH133" s="7" t="e">
        <f>IF(#REF!="","",IF(AND($CE133&gt;0,#REF!="CINSAUT N"),#REF!,0))</f>
        <v>#REF!</v>
      </c>
      <c r="CI133" s="7" t="e">
        <f>IF(#REF!="","",IF(AND($CE133&gt;0,#REF!="TIBOUREN N"),#REF!,0))</f>
        <v>#REF!</v>
      </c>
      <c r="CJ133" s="7" t="e">
        <f>IF(#REF!="","",IF(AND($CE133&gt;0,#REF!="MOURVEDRE N"),#REF!,0))</f>
        <v>#REF!</v>
      </c>
      <c r="CK133" s="7" t="e">
        <f>IF(#REF!="","",IF(AND($CE133&gt;0,#REF!="CARIGNAN N"),#REF!,0))</f>
        <v>#REF!</v>
      </c>
      <c r="CL133" s="7" t="e">
        <f>IF(#REF!="","",IF(AND($CE133&gt;0,#REF!="CABERNET SAUVIGNON N"),#REF!,0))</f>
        <v>#REF!</v>
      </c>
      <c r="CM133" s="7" t="e">
        <f>IF(#REF!="","",IF(AND($CE133&gt;0,#REF!="VERMENTINO B"),#REF!,0))</f>
        <v>#REF!</v>
      </c>
      <c r="CN133" s="7" t="e">
        <f>IF(#REF!="","",IF(AND($CE133&gt;0,#REF!="UGNI BLANC B"),#REF!,0))</f>
        <v>#REF!</v>
      </c>
      <c r="CO133" s="7" t="e">
        <f>IF(#REF!="","",IF(AND($CE133&gt;0,#REF!="CLAIRETTE B"),#REF!,0))</f>
        <v>#REF!</v>
      </c>
      <c r="CP133" s="7" t="e">
        <f>IF(#REF!="","",IF(AND($CE133&gt;0,#REF!="semillon B"),#REF!,0))</f>
        <v>#REF!</v>
      </c>
      <c r="CQ133" s="7" t="e">
        <f>IF(#REF!="","",IF(CE133=0,CC133,0))</f>
        <v>#REF!</v>
      </c>
      <c r="CR133" s="17"/>
      <c r="DE133"/>
    </row>
    <row r="134" spans="81:109" x14ac:dyDescent="0.25">
      <c r="CC134" s="7" t="e">
        <f>IF(#REF!="","",IF(#REF!="PF",#REF!,0))</f>
        <v>#REF!</v>
      </c>
      <c r="CD134" s="7" t="e">
        <f>IF(#REF!="","",IF(#REF!="PF",IF((#REF!+4)&lt;YEAR(#REF!),0,#REF!),0))</f>
        <v>#REF!</v>
      </c>
      <c r="CE134" s="7" t="e">
        <f>IF(#REF!="","",IF(AND(CD134&gt;0,#REF!&lt;&gt;""),CC134,0))</f>
        <v>#REF!</v>
      </c>
      <c r="CF134" s="7" t="e">
        <f>IF(#REF!="","",IF(AND($CE134&gt;0,#REF!= "GRENACHE N"),#REF!,0))</f>
        <v>#REF!</v>
      </c>
      <c r="CG134" s="7" t="e">
        <f>IF(#REF!="","",IF(AND($CE134&gt;0,#REF!="SYRAH N"),#REF!,0))</f>
        <v>#REF!</v>
      </c>
      <c r="CH134" s="7" t="e">
        <f>IF(#REF!="","",IF(AND($CE134&gt;0,#REF!="CINSAUT N"),#REF!,0))</f>
        <v>#REF!</v>
      </c>
      <c r="CI134" s="7" t="e">
        <f>IF(#REF!="","",IF(AND($CE134&gt;0,#REF!="TIBOUREN N"),#REF!,0))</f>
        <v>#REF!</v>
      </c>
      <c r="CJ134" s="7" t="e">
        <f>IF(#REF!="","",IF(AND($CE134&gt;0,#REF!="MOURVEDRE N"),#REF!,0))</f>
        <v>#REF!</v>
      </c>
      <c r="CK134" s="7" t="e">
        <f>IF(#REF!="","",IF(AND($CE134&gt;0,#REF!="CARIGNAN N"),#REF!,0))</f>
        <v>#REF!</v>
      </c>
      <c r="CL134" s="7" t="e">
        <f>IF(#REF!="","",IF(AND($CE134&gt;0,#REF!="CABERNET SAUVIGNON N"),#REF!,0))</f>
        <v>#REF!</v>
      </c>
      <c r="CM134" s="7" t="e">
        <f>IF(#REF!="","",IF(AND($CE134&gt;0,#REF!="VERMENTINO B"),#REF!,0))</f>
        <v>#REF!</v>
      </c>
      <c r="CN134" s="7" t="e">
        <f>IF(#REF!="","",IF(AND($CE134&gt;0,#REF!="UGNI BLANC B"),#REF!,0))</f>
        <v>#REF!</v>
      </c>
      <c r="CO134" s="7" t="e">
        <f>IF(#REF!="","",IF(AND($CE134&gt;0,#REF!="CLAIRETTE B"),#REF!,0))</f>
        <v>#REF!</v>
      </c>
      <c r="CP134" s="7" t="e">
        <f>IF(#REF!="","",IF(AND($CE134&gt;0,#REF!="semillon B"),#REF!,0))</f>
        <v>#REF!</v>
      </c>
      <c r="CQ134" s="7" t="e">
        <f>IF(#REF!="","",IF(CE134=0,CC134,0))</f>
        <v>#REF!</v>
      </c>
      <c r="CR134" s="17"/>
      <c r="DE134"/>
    </row>
    <row r="135" spans="81:109" x14ac:dyDescent="0.25">
      <c r="CC135" s="7" t="e">
        <f>IF(#REF!="","",IF(#REF!="PF",#REF!,0))</f>
        <v>#REF!</v>
      </c>
      <c r="CD135" s="7" t="e">
        <f>IF(#REF!="","",IF(#REF!="PF",IF((#REF!+4)&lt;YEAR(#REF!),0,#REF!),0))</f>
        <v>#REF!</v>
      </c>
      <c r="CE135" s="7" t="e">
        <f>IF(#REF!="","",IF(AND(CD135&gt;0,#REF!&lt;&gt;""),CC135,0))</f>
        <v>#REF!</v>
      </c>
      <c r="CF135" s="7" t="e">
        <f>IF(#REF!="","",IF(AND($CE135&gt;0,#REF!= "GRENACHE N"),#REF!,0))</f>
        <v>#REF!</v>
      </c>
      <c r="CG135" s="7" t="e">
        <f>IF(#REF!="","",IF(AND($CE135&gt;0,#REF!="SYRAH N"),#REF!,0))</f>
        <v>#REF!</v>
      </c>
      <c r="CH135" s="7" t="e">
        <f>IF(#REF!="","",IF(AND($CE135&gt;0,#REF!="CINSAUT N"),#REF!,0))</f>
        <v>#REF!</v>
      </c>
      <c r="CI135" s="7" t="e">
        <f>IF(#REF!="","",IF(AND($CE135&gt;0,#REF!="TIBOUREN N"),#REF!,0))</f>
        <v>#REF!</v>
      </c>
      <c r="CJ135" s="7" t="e">
        <f>IF(#REF!="","",IF(AND($CE135&gt;0,#REF!="MOURVEDRE N"),#REF!,0))</f>
        <v>#REF!</v>
      </c>
      <c r="CK135" s="7" t="e">
        <f>IF(#REF!="","",IF(AND($CE135&gt;0,#REF!="CARIGNAN N"),#REF!,0))</f>
        <v>#REF!</v>
      </c>
      <c r="CL135" s="7" t="e">
        <f>IF(#REF!="","",IF(AND($CE135&gt;0,#REF!="CABERNET SAUVIGNON N"),#REF!,0))</f>
        <v>#REF!</v>
      </c>
      <c r="CM135" s="7" t="e">
        <f>IF(#REF!="","",IF(AND($CE135&gt;0,#REF!="VERMENTINO B"),#REF!,0))</f>
        <v>#REF!</v>
      </c>
      <c r="CN135" s="7" t="e">
        <f>IF(#REF!="","",IF(AND($CE135&gt;0,#REF!="UGNI BLANC B"),#REF!,0))</f>
        <v>#REF!</v>
      </c>
      <c r="CO135" s="7" t="e">
        <f>IF(#REF!="","",IF(AND($CE135&gt;0,#REF!="CLAIRETTE B"),#REF!,0))</f>
        <v>#REF!</v>
      </c>
      <c r="CP135" s="7" t="e">
        <f>IF(#REF!="","",IF(AND($CE135&gt;0,#REF!="semillon B"),#REF!,0))</f>
        <v>#REF!</v>
      </c>
      <c r="CQ135" s="7" t="e">
        <f>IF(#REF!="","",IF(CE135=0,CC135,0))</f>
        <v>#REF!</v>
      </c>
      <c r="CR135" s="17"/>
      <c r="DE135"/>
    </row>
    <row r="136" spans="81:109" x14ac:dyDescent="0.25">
      <c r="CC136" s="7" t="e">
        <f>IF(#REF!="","",IF(#REF!="PF",#REF!,0))</f>
        <v>#REF!</v>
      </c>
      <c r="CD136" s="7" t="e">
        <f>IF(#REF!="","",IF(#REF!="PF",IF((#REF!+4)&lt;YEAR(#REF!),0,#REF!),0))</f>
        <v>#REF!</v>
      </c>
      <c r="CE136" s="7" t="e">
        <f>IF(#REF!="","",IF(AND(CD136&gt;0,#REF!&lt;&gt;""),CC136,0))</f>
        <v>#REF!</v>
      </c>
      <c r="CF136" s="7" t="e">
        <f>IF(#REF!="","",IF(AND($CE136&gt;0,#REF!= "GRENACHE N"),#REF!,0))</f>
        <v>#REF!</v>
      </c>
      <c r="CG136" s="7" t="e">
        <f>IF(#REF!="","",IF(AND($CE136&gt;0,#REF!="SYRAH N"),#REF!,0))</f>
        <v>#REF!</v>
      </c>
      <c r="CH136" s="7" t="e">
        <f>IF(#REF!="","",IF(AND($CE136&gt;0,#REF!="CINSAUT N"),#REF!,0))</f>
        <v>#REF!</v>
      </c>
      <c r="CI136" s="7" t="e">
        <f>IF(#REF!="","",IF(AND($CE136&gt;0,#REF!="TIBOUREN N"),#REF!,0))</f>
        <v>#REF!</v>
      </c>
      <c r="CJ136" s="7" t="e">
        <f>IF(#REF!="","",IF(AND($CE136&gt;0,#REF!="MOURVEDRE N"),#REF!,0))</f>
        <v>#REF!</v>
      </c>
      <c r="CK136" s="7" t="e">
        <f>IF(#REF!="","",IF(AND($CE136&gt;0,#REF!="CARIGNAN N"),#REF!,0))</f>
        <v>#REF!</v>
      </c>
      <c r="CL136" s="7" t="e">
        <f>IF(#REF!="","",IF(AND($CE136&gt;0,#REF!="CABERNET SAUVIGNON N"),#REF!,0))</f>
        <v>#REF!</v>
      </c>
      <c r="CM136" s="7" t="e">
        <f>IF(#REF!="","",IF(AND($CE136&gt;0,#REF!="VERMENTINO B"),#REF!,0))</f>
        <v>#REF!</v>
      </c>
      <c r="CN136" s="7" t="e">
        <f>IF(#REF!="","",IF(AND($CE136&gt;0,#REF!="UGNI BLANC B"),#REF!,0))</f>
        <v>#REF!</v>
      </c>
      <c r="CO136" s="7" t="e">
        <f>IF(#REF!="","",IF(AND($CE136&gt;0,#REF!="CLAIRETTE B"),#REF!,0))</f>
        <v>#REF!</v>
      </c>
      <c r="CP136" s="7" t="e">
        <f>IF(#REF!="","",IF(AND($CE136&gt;0,#REF!="semillon B"),#REF!,0))</f>
        <v>#REF!</v>
      </c>
      <c r="CQ136" s="7" t="e">
        <f>IF(#REF!="","",IF(CE136=0,CC136,0))</f>
        <v>#REF!</v>
      </c>
      <c r="CR136" s="17"/>
      <c r="DE136"/>
    </row>
    <row r="137" spans="81:109" x14ac:dyDescent="0.25">
      <c r="CC137" s="7" t="e">
        <f>IF(#REF!="","",IF(#REF!="PF",#REF!,0))</f>
        <v>#REF!</v>
      </c>
      <c r="CD137" s="7" t="e">
        <f>IF(#REF!="","",IF(#REF!="PF",IF((#REF!+4)&lt;YEAR(#REF!),0,#REF!),0))</f>
        <v>#REF!</v>
      </c>
      <c r="CE137" s="7" t="e">
        <f>IF(#REF!="","",IF(AND(CD137&gt;0,#REF!&lt;&gt;""),CC137,0))</f>
        <v>#REF!</v>
      </c>
      <c r="CF137" s="7" t="e">
        <f>IF(#REF!="","",IF(AND($CE137&gt;0,#REF!= "GRENACHE N"),#REF!,0))</f>
        <v>#REF!</v>
      </c>
      <c r="CG137" s="7" t="e">
        <f>IF(#REF!="","",IF(AND($CE137&gt;0,#REF!="SYRAH N"),#REF!,0))</f>
        <v>#REF!</v>
      </c>
      <c r="CH137" s="7" t="e">
        <f>IF(#REF!="","",IF(AND($CE137&gt;0,#REF!="CINSAUT N"),#REF!,0))</f>
        <v>#REF!</v>
      </c>
      <c r="CI137" s="7" t="e">
        <f>IF(#REF!="","",IF(AND($CE137&gt;0,#REF!="TIBOUREN N"),#REF!,0))</f>
        <v>#REF!</v>
      </c>
      <c r="CJ137" s="7" t="e">
        <f>IF(#REF!="","",IF(AND($CE137&gt;0,#REF!="MOURVEDRE N"),#REF!,0))</f>
        <v>#REF!</v>
      </c>
      <c r="CK137" s="7" t="e">
        <f>IF(#REF!="","",IF(AND($CE137&gt;0,#REF!="CARIGNAN N"),#REF!,0))</f>
        <v>#REF!</v>
      </c>
      <c r="CL137" s="7" t="e">
        <f>IF(#REF!="","",IF(AND($CE137&gt;0,#REF!="CABERNET SAUVIGNON N"),#REF!,0))</f>
        <v>#REF!</v>
      </c>
      <c r="CM137" s="7" t="e">
        <f>IF(#REF!="","",IF(AND($CE137&gt;0,#REF!="VERMENTINO B"),#REF!,0))</f>
        <v>#REF!</v>
      </c>
      <c r="CN137" s="7" t="e">
        <f>IF(#REF!="","",IF(AND($CE137&gt;0,#REF!="UGNI BLANC B"),#REF!,0))</f>
        <v>#REF!</v>
      </c>
      <c r="CO137" s="7" t="e">
        <f>IF(#REF!="","",IF(AND($CE137&gt;0,#REF!="CLAIRETTE B"),#REF!,0))</f>
        <v>#REF!</v>
      </c>
      <c r="CP137" s="7" t="e">
        <f>IF(#REF!="","",IF(AND($CE137&gt;0,#REF!="semillon B"),#REF!,0))</f>
        <v>#REF!</v>
      </c>
      <c r="CQ137" s="7" t="e">
        <f>IF(#REF!="","",IF(CE137=0,CC137,0))</f>
        <v>#REF!</v>
      </c>
      <c r="CR137" s="17"/>
      <c r="DE137"/>
    </row>
    <row r="138" spans="81:109" x14ac:dyDescent="0.25">
      <c r="CC138" s="7" t="e">
        <f>IF(#REF!="","",IF(#REF!="PF",#REF!,0))</f>
        <v>#REF!</v>
      </c>
      <c r="CD138" s="7" t="e">
        <f>IF(#REF!="","",IF(#REF!="PF",IF((#REF!+4)&lt;YEAR(#REF!),0,#REF!),0))</f>
        <v>#REF!</v>
      </c>
      <c r="CE138" s="7" t="e">
        <f>IF(#REF!="","",IF(AND(CD138&gt;0,#REF!&lt;&gt;""),CC138,0))</f>
        <v>#REF!</v>
      </c>
      <c r="CF138" s="7" t="e">
        <f>IF(#REF!="","",IF(AND($CE138&gt;0,#REF!= "GRENACHE N"),#REF!,0))</f>
        <v>#REF!</v>
      </c>
      <c r="CG138" s="7" t="e">
        <f>IF(#REF!="","",IF(AND($CE138&gt;0,#REF!="SYRAH N"),#REF!,0))</f>
        <v>#REF!</v>
      </c>
      <c r="CH138" s="7" t="e">
        <f>IF(#REF!="","",IF(AND($CE138&gt;0,#REF!="CINSAUT N"),#REF!,0))</f>
        <v>#REF!</v>
      </c>
      <c r="CI138" s="7" t="e">
        <f>IF(#REF!="","",IF(AND($CE138&gt;0,#REF!="TIBOUREN N"),#REF!,0))</f>
        <v>#REF!</v>
      </c>
      <c r="CJ138" s="7" t="e">
        <f>IF(#REF!="","",IF(AND($CE138&gt;0,#REF!="MOURVEDRE N"),#REF!,0))</f>
        <v>#REF!</v>
      </c>
      <c r="CK138" s="7" t="e">
        <f>IF(#REF!="","",IF(AND($CE138&gt;0,#REF!="CARIGNAN N"),#REF!,0))</f>
        <v>#REF!</v>
      </c>
      <c r="CL138" s="7" t="e">
        <f>IF(#REF!="","",IF(AND($CE138&gt;0,#REF!="CABERNET SAUVIGNON N"),#REF!,0))</f>
        <v>#REF!</v>
      </c>
      <c r="CM138" s="7" t="e">
        <f>IF(#REF!="","",IF(AND($CE138&gt;0,#REF!="VERMENTINO B"),#REF!,0))</f>
        <v>#REF!</v>
      </c>
      <c r="CN138" s="7" t="e">
        <f>IF(#REF!="","",IF(AND($CE138&gt;0,#REF!="UGNI BLANC B"),#REF!,0))</f>
        <v>#REF!</v>
      </c>
      <c r="CO138" s="7" t="e">
        <f>IF(#REF!="","",IF(AND($CE138&gt;0,#REF!="CLAIRETTE B"),#REF!,0))</f>
        <v>#REF!</v>
      </c>
      <c r="CP138" s="7" t="e">
        <f>IF(#REF!="","",IF(AND($CE138&gt;0,#REF!="semillon B"),#REF!,0))</f>
        <v>#REF!</v>
      </c>
      <c r="CQ138" s="7" t="e">
        <f>IF(#REF!="","",IF(CE138=0,CC138,0))</f>
        <v>#REF!</v>
      </c>
      <c r="CR138" s="17"/>
      <c r="DE138"/>
    </row>
    <row r="139" spans="81:109" x14ac:dyDescent="0.25">
      <c r="CC139" s="7" t="e">
        <f>IF(#REF!="","",IF(#REF!="PF",#REF!,0))</f>
        <v>#REF!</v>
      </c>
      <c r="CD139" s="7" t="e">
        <f>IF(#REF!="","",IF(#REF!="PF",IF((#REF!+4)&lt;YEAR(#REF!),0,#REF!),0))</f>
        <v>#REF!</v>
      </c>
      <c r="CE139" s="7" t="e">
        <f>IF(#REF!="","",IF(AND(CD139&gt;0,#REF!&lt;&gt;""),CC139,0))</f>
        <v>#REF!</v>
      </c>
      <c r="CF139" s="7" t="e">
        <f>IF(#REF!="","",IF(AND($CE139&gt;0,#REF!= "GRENACHE N"),#REF!,0))</f>
        <v>#REF!</v>
      </c>
      <c r="CG139" s="7" t="e">
        <f>IF(#REF!="","",IF(AND($CE139&gt;0,#REF!="SYRAH N"),#REF!,0))</f>
        <v>#REF!</v>
      </c>
      <c r="CH139" s="7" t="e">
        <f>IF(#REF!="","",IF(AND($CE139&gt;0,#REF!="CINSAUT N"),#REF!,0))</f>
        <v>#REF!</v>
      </c>
      <c r="CI139" s="7" t="e">
        <f>IF(#REF!="","",IF(AND($CE139&gt;0,#REF!="TIBOUREN N"),#REF!,0))</f>
        <v>#REF!</v>
      </c>
      <c r="CJ139" s="7" t="e">
        <f>IF(#REF!="","",IF(AND($CE139&gt;0,#REF!="MOURVEDRE N"),#REF!,0))</f>
        <v>#REF!</v>
      </c>
      <c r="CK139" s="7" t="e">
        <f>IF(#REF!="","",IF(AND($CE139&gt;0,#REF!="CARIGNAN N"),#REF!,0))</f>
        <v>#REF!</v>
      </c>
      <c r="CL139" s="7" t="e">
        <f>IF(#REF!="","",IF(AND($CE139&gt;0,#REF!="CABERNET SAUVIGNON N"),#REF!,0))</f>
        <v>#REF!</v>
      </c>
      <c r="CM139" s="7" t="e">
        <f>IF(#REF!="","",IF(AND($CE139&gt;0,#REF!="VERMENTINO B"),#REF!,0))</f>
        <v>#REF!</v>
      </c>
      <c r="CN139" s="7" t="e">
        <f>IF(#REF!="","",IF(AND($CE139&gt;0,#REF!="UGNI BLANC B"),#REF!,0))</f>
        <v>#REF!</v>
      </c>
      <c r="CO139" s="7" t="e">
        <f>IF(#REF!="","",IF(AND($CE139&gt;0,#REF!="CLAIRETTE B"),#REF!,0))</f>
        <v>#REF!</v>
      </c>
      <c r="CP139" s="7" t="e">
        <f>IF(#REF!="","",IF(AND($CE139&gt;0,#REF!="semillon B"),#REF!,0))</f>
        <v>#REF!</v>
      </c>
      <c r="CQ139" s="7" t="e">
        <f>IF(#REF!="","",IF(CE139=0,CC139,0))</f>
        <v>#REF!</v>
      </c>
      <c r="CR139" s="17"/>
      <c r="DE139"/>
    </row>
    <row r="140" spans="81:109" x14ac:dyDescent="0.25">
      <c r="CC140" s="7" t="e">
        <f>IF(#REF!="","",IF(#REF!="PF",#REF!,0))</f>
        <v>#REF!</v>
      </c>
      <c r="CD140" s="7" t="e">
        <f>IF(#REF!="","",IF(#REF!="PF",IF((#REF!+4)&lt;YEAR(#REF!),0,#REF!),0))</f>
        <v>#REF!</v>
      </c>
      <c r="CE140" s="7" t="e">
        <f>IF(#REF!="","",IF(AND(CD140&gt;0,#REF!&lt;&gt;""),CC140,0))</f>
        <v>#REF!</v>
      </c>
      <c r="CF140" s="7" t="e">
        <f>IF(#REF!="","",IF(AND($CE140&gt;0,#REF!= "GRENACHE N"),#REF!,0))</f>
        <v>#REF!</v>
      </c>
      <c r="CG140" s="7" t="e">
        <f>IF(#REF!="","",IF(AND($CE140&gt;0,#REF!="SYRAH N"),#REF!,0))</f>
        <v>#REF!</v>
      </c>
      <c r="CH140" s="7" t="e">
        <f>IF(#REF!="","",IF(AND($CE140&gt;0,#REF!="CINSAUT N"),#REF!,0))</f>
        <v>#REF!</v>
      </c>
      <c r="CI140" s="7" t="e">
        <f>IF(#REF!="","",IF(AND($CE140&gt;0,#REF!="TIBOUREN N"),#REF!,0))</f>
        <v>#REF!</v>
      </c>
      <c r="CJ140" s="7" t="e">
        <f>IF(#REF!="","",IF(AND($CE140&gt;0,#REF!="MOURVEDRE N"),#REF!,0))</f>
        <v>#REF!</v>
      </c>
      <c r="CK140" s="7" t="e">
        <f>IF(#REF!="","",IF(AND($CE140&gt;0,#REF!="CARIGNAN N"),#REF!,0))</f>
        <v>#REF!</v>
      </c>
      <c r="CL140" s="7" t="e">
        <f>IF(#REF!="","",IF(AND($CE140&gt;0,#REF!="CABERNET SAUVIGNON N"),#REF!,0))</f>
        <v>#REF!</v>
      </c>
      <c r="CM140" s="7" t="e">
        <f>IF(#REF!="","",IF(AND($CE140&gt;0,#REF!="VERMENTINO B"),#REF!,0))</f>
        <v>#REF!</v>
      </c>
      <c r="CN140" s="7" t="e">
        <f>IF(#REF!="","",IF(AND($CE140&gt;0,#REF!="UGNI BLANC B"),#REF!,0))</f>
        <v>#REF!</v>
      </c>
      <c r="CO140" s="7" t="e">
        <f>IF(#REF!="","",IF(AND($CE140&gt;0,#REF!="CLAIRETTE B"),#REF!,0))</f>
        <v>#REF!</v>
      </c>
      <c r="CP140" s="7" t="e">
        <f>IF(#REF!="","",IF(AND($CE140&gt;0,#REF!="semillon B"),#REF!,0))</f>
        <v>#REF!</v>
      </c>
      <c r="CQ140" s="7" t="e">
        <f>IF(#REF!="","",IF(CE140=0,CC140,0))</f>
        <v>#REF!</v>
      </c>
      <c r="CR140" s="17"/>
      <c r="DE140"/>
    </row>
    <row r="141" spans="81:109" x14ac:dyDescent="0.25">
      <c r="CC141" s="7" t="e">
        <f>IF(#REF!="","",IF(#REF!="PF",#REF!,0))</f>
        <v>#REF!</v>
      </c>
      <c r="CD141" s="7" t="e">
        <f>IF(#REF!="","",IF(#REF!="PF",IF((#REF!+4)&lt;YEAR(#REF!),0,#REF!),0))</f>
        <v>#REF!</v>
      </c>
      <c r="CE141" s="7" t="e">
        <f>IF(#REF!="","",IF(AND(CD141&gt;0,#REF!&lt;&gt;""),CC141,0))</f>
        <v>#REF!</v>
      </c>
      <c r="CF141" s="7" t="e">
        <f>IF(#REF!="","",IF(AND($CE141&gt;0,#REF!= "GRENACHE N"),#REF!,0))</f>
        <v>#REF!</v>
      </c>
      <c r="CG141" s="7" t="e">
        <f>IF(#REF!="","",IF(AND($CE141&gt;0,#REF!="SYRAH N"),#REF!,0))</f>
        <v>#REF!</v>
      </c>
      <c r="CH141" s="7" t="e">
        <f>IF(#REF!="","",IF(AND($CE141&gt;0,#REF!="CINSAUT N"),#REF!,0))</f>
        <v>#REF!</v>
      </c>
      <c r="CI141" s="7" t="e">
        <f>IF(#REF!="","",IF(AND($CE141&gt;0,#REF!="TIBOUREN N"),#REF!,0))</f>
        <v>#REF!</v>
      </c>
      <c r="CJ141" s="7" t="e">
        <f>IF(#REF!="","",IF(AND($CE141&gt;0,#REF!="MOURVEDRE N"),#REF!,0))</f>
        <v>#REF!</v>
      </c>
      <c r="CK141" s="7" t="e">
        <f>IF(#REF!="","",IF(AND($CE141&gt;0,#REF!="CARIGNAN N"),#REF!,0))</f>
        <v>#REF!</v>
      </c>
      <c r="CL141" s="7" t="e">
        <f>IF(#REF!="","",IF(AND($CE141&gt;0,#REF!="CABERNET SAUVIGNON N"),#REF!,0))</f>
        <v>#REF!</v>
      </c>
      <c r="CM141" s="7" t="e">
        <f>IF(#REF!="","",IF(AND($CE141&gt;0,#REF!="VERMENTINO B"),#REF!,0))</f>
        <v>#REF!</v>
      </c>
      <c r="CN141" s="7" t="e">
        <f>IF(#REF!="","",IF(AND($CE141&gt;0,#REF!="UGNI BLANC B"),#REF!,0))</f>
        <v>#REF!</v>
      </c>
      <c r="CO141" s="7" t="e">
        <f>IF(#REF!="","",IF(AND($CE141&gt;0,#REF!="CLAIRETTE B"),#REF!,0))</f>
        <v>#REF!</v>
      </c>
      <c r="CP141" s="7" t="e">
        <f>IF(#REF!="","",IF(AND($CE141&gt;0,#REF!="semillon B"),#REF!,0))</f>
        <v>#REF!</v>
      </c>
      <c r="CQ141" s="7" t="e">
        <f>IF(#REF!="","",IF(CE141=0,CC141,0))</f>
        <v>#REF!</v>
      </c>
      <c r="CR141" s="17"/>
      <c r="DE141"/>
    </row>
    <row r="142" spans="81:109" x14ac:dyDescent="0.25">
      <c r="CC142" s="7" t="e">
        <f>IF(#REF!="","",IF(#REF!="PF",#REF!,0))</f>
        <v>#REF!</v>
      </c>
      <c r="CD142" s="7" t="e">
        <f>IF(#REF!="","",IF(#REF!="PF",IF((#REF!+4)&lt;YEAR(#REF!),0,#REF!),0))</f>
        <v>#REF!</v>
      </c>
      <c r="CE142" s="7" t="e">
        <f>IF(#REF!="","",IF(AND(CD142&gt;0,#REF!&lt;&gt;""),CC142,0))</f>
        <v>#REF!</v>
      </c>
      <c r="CF142" s="7" t="e">
        <f>IF(#REF!="","",IF(AND($CE142&gt;0,#REF!= "GRENACHE N"),#REF!,0))</f>
        <v>#REF!</v>
      </c>
      <c r="CG142" s="7" t="e">
        <f>IF(#REF!="","",IF(AND($CE142&gt;0,#REF!="SYRAH N"),#REF!,0))</f>
        <v>#REF!</v>
      </c>
      <c r="CH142" s="7" t="e">
        <f>IF(#REF!="","",IF(AND($CE142&gt;0,#REF!="CINSAUT N"),#REF!,0))</f>
        <v>#REF!</v>
      </c>
      <c r="CI142" s="7" t="e">
        <f>IF(#REF!="","",IF(AND($CE142&gt;0,#REF!="TIBOUREN N"),#REF!,0))</f>
        <v>#REF!</v>
      </c>
      <c r="CJ142" s="7" t="e">
        <f>IF(#REF!="","",IF(AND($CE142&gt;0,#REF!="MOURVEDRE N"),#REF!,0))</f>
        <v>#REF!</v>
      </c>
      <c r="CK142" s="7" t="e">
        <f>IF(#REF!="","",IF(AND($CE142&gt;0,#REF!="CARIGNAN N"),#REF!,0))</f>
        <v>#REF!</v>
      </c>
      <c r="CL142" s="7" t="e">
        <f>IF(#REF!="","",IF(AND($CE142&gt;0,#REF!="CABERNET SAUVIGNON N"),#REF!,0))</f>
        <v>#REF!</v>
      </c>
      <c r="CM142" s="7" t="e">
        <f>IF(#REF!="","",IF(AND($CE142&gt;0,#REF!="VERMENTINO B"),#REF!,0))</f>
        <v>#REF!</v>
      </c>
      <c r="CN142" s="7" t="e">
        <f>IF(#REF!="","",IF(AND($CE142&gt;0,#REF!="UGNI BLANC B"),#REF!,0))</f>
        <v>#REF!</v>
      </c>
      <c r="CO142" s="7" t="e">
        <f>IF(#REF!="","",IF(AND($CE142&gt;0,#REF!="CLAIRETTE B"),#REF!,0))</f>
        <v>#REF!</v>
      </c>
      <c r="CP142" s="7" t="e">
        <f>IF(#REF!="","",IF(AND($CE142&gt;0,#REF!="semillon B"),#REF!,0))</f>
        <v>#REF!</v>
      </c>
      <c r="CQ142" s="7" t="e">
        <f>IF(#REF!="","",IF(CE142=0,CC142,0))</f>
        <v>#REF!</v>
      </c>
      <c r="CR142" s="17"/>
      <c r="DE142"/>
    </row>
    <row r="143" spans="81:109" x14ac:dyDescent="0.25">
      <c r="CC143" s="7" t="e">
        <f>IF(#REF!="","",IF(#REF!="PF",#REF!,0))</f>
        <v>#REF!</v>
      </c>
      <c r="CD143" s="7" t="e">
        <f>IF(#REF!="","",IF(#REF!="PF",IF((#REF!+4)&lt;YEAR(#REF!),0,#REF!),0))</f>
        <v>#REF!</v>
      </c>
      <c r="CE143" s="7" t="e">
        <f>IF(#REF!="","",IF(AND(CD143&gt;0,#REF!&lt;&gt;""),CC143,0))</f>
        <v>#REF!</v>
      </c>
      <c r="CF143" s="7" t="e">
        <f>IF(#REF!="","",IF(AND($CE143&gt;0,#REF!= "GRENACHE N"),#REF!,0))</f>
        <v>#REF!</v>
      </c>
      <c r="CG143" s="7" t="e">
        <f>IF(#REF!="","",IF(AND($CE143&gt;0,#REF!="SYRAH N"),#REF!,0))</f>
        <v>#REF!</v>
      </c>
      <c r="CH143" s="7" t="e">
        <f>IF(#REF!="","",IF(AND($CE143&gt;0,#REF!="CINSAUT N"),#REF!,0))</f>
        <v>#REF!</v>
      </c>
      <c r="CI143" s="7" t="e">
        <f>IF(#REF!="","",IF(AND($CE143&gt;0,#REF!="TIBOUREN N"),#REF!,0))</f>
        <v>#REF!</v>
      </c>
      <c r="CJ143" s="7" t="e">
        <f>IF(#REF!="","",IF(AND($CE143&gt;0,#REF!="MOURVEDRE N"),#REF!,0))</f>
        <v>#REF!</v>
      </c>
      <c r="CK143" s="7" t="e">
        <f>IF(#REF!="","",IF(AND($CE143&gt;0,#REF!="CARIGNAN N"),#REF!,0))</f>
        <v>#REF!</v>
      </c>
      <c r="CL143" s="7" t="e">
        <f>IF(#REF!="","",IF(AND($CE143&gt;0,#REF!="CABERNET SAUVIGNON N"),#REF!,0))</f>
        <v>#REF!</v>
      </c>
      <c r="CM143" s="7" t="e">
        <f>IF(#REF!="","",IF(AND($CE143&gt;0,#REF!="VERMENTINO B"),#REF!,0))</f>
        <v>#REF!</v>
      </c>
      <c r="CN143" s="7" t="e">
        <f>IF(#REF!="","",IF(AND($CE143&gt;0,#REF!="UGNI BLANC B"),#REF!,0))</f>
        <v>#REF!</v>
      </c>
      <c r="CO143" s="7" t="e">
        <f>IF(#REF!="","",IF(AND($CE143&gt;0,#REF!="CLAIRETTE B"),#REF!,0))</f>
        <v>#REF!</v>
      </c>
      <c r="CP143" s="7" t="e">
        <f>IF(#REF!="","",IF(AND($CE143&gt;0,#REF!="semillon B"),#REF!,0))</f>
        <v>#REF!</v>
      </c>
      <c r="CQ143" s="7" t="e">
        <f>IF(#REF!="","",IF(CE143=0,CC143,0))</f>
        <v>#REF!</v>
      </c>
      <c r="CR143" s="17"/>
      <c r="DE143"/>
    </row>
    <row r="144" spans="81:109" x14ac:dyDescent="0.25">
      <c r="CC144" s="7" t="e">
        <f>IF(#REF!="","",IF(#REF!="PF",#REF!,0))</f>
        <v>#REF!</v>
      </c>
      <c r="CD144" s="7" t="e">
        <f>IF(#REF!="","",IF(#REF!="PF",IF((#REF!+4)&lt;YEAR(#REF!),0,#REF!),0))</f>
        <v>#REF!</v>
      </c>
      <c r="CE144" s="7" t="e">
        <f>IF(#REF!="","",IF(AND(CD144&gt;0,#REF!&lt;&gt;""),CC144,0))</f>
        <v>#REF!</v>
      </c>
      <c r="CF144" s="7" t="e">
        <f>IF(#REF!="","",IF(AND($CE144&gt;0,#REF!= "GRENACHE N"),#REF!,0))</f>
        <v>#REF!</v>
      </c>
      <c r="CG144" s="7" t="e">
        <f>IF(#REF!="","",IF(AND($CE144&gt;0,#REF!="SYRAH N"),#REF!,0))</f>
        <v>#REF!</v>
      </c>
      <c r="CH144" s="7" t="e">
        <f>IF(#REF!="","",IF(AND($CE144&gt;0,#REF!="CINSAUT N"),#REF!,0))</f>
        <v>#REF!</v>
      </c>
      <c r="CI144" s="7" t="e">
        <f>IF(#REF!="","",IF(AND($CE144&gt;0,#REF!="TIBOUREN N"),#REF!,0))</f>
        <v>#REF!</v>
      </c>
      <c r="CJ144" s="7" t="e">
        <f>IF(#REF!="","",IF(AND($CE144&gt;0,#REF!="MOURVEDRE N"),#REF!,0))</f>
        <v>#REF!</v>
      </c>
      <c r="CK144" s="7" t="e">
        <f>IF(#REF!="","",IF(AND($CE144&gt;0,#REF!="CARIGNAN N"),#REF!,0))</f>
        <v>#REF!</v>
      </c>
      <c r="CL144" s="7" t="e">
        <f>IF(#REF!="","",IF(AND($CE144&gt;0,#REF!="CABERNET SAUVIGNON N"),#REF!,0))</f>
        <v>#REF!</v>
      </c>
      <c r="CM144" s="7" t="e">
        <f>IF(#REF!="","",IF(AND($CE144&gt;0,#REF!="VERMENTINO B"),#REF!,0))</f>
        <v>#REF!</v>
      </c>
      <c r="CN144" s="7" t="e">
        <f>IF(#REF!="","",IF(AND($CE144&gt;0,#REF!="UGNI BLANC B"),#REF!,0))</f>
        <v>#REF!</v>
      </c>
      <c r="CO144" s="7" t="e">
        <f>IF(#REF!="","",IF(AND($CE144&gt;0,#REF!="CLAIRETTE B"),#REF!,0))</f>
        <v>#REF!</v>
      </c>
      <c r="CP144" s="7" t="e">
        <f>IF(#REF!="","",IF(AND($CE144&gt;0,#REF!="semillon B"),#REF!,0))</f>
        <v>#REF!</v>
      </c>
      <c r="CQ144" s="7" t="e">
        <f>IF(#REF!="","",IF(CE144=0,CC144,0))</f>
        <v>#REF!</v>
      </c>
      <c r="CR144" s="17"/>
      <c r="DE144"/>
    </row>
    <row r="145" spans="81:109" x14ac:dyDescent="0.25">
      <c r="CC145" s="7" t="e">
        <f>IF(#REF!="","",IF(#REF!="PF",#REF!,0))</f>
        <v>#REF!</v>
      </c>
      <c r="CD145" s="7" t="e">
        <f>IF(#REF!="","",IF(#REF!="PF",IF((#REF!+4)&lt;YEAR(#REF!),0,#REF!),0))</f>
        <v>#REF!</v>
      </c>
      <c r="CE145" s="7" t="e">
        <f>IF(#REF!="","",IF(AND(CD145&gt;0,#REF!&lt;&gt;""),CC145,0))</f>
        <v>#REF!</v>
      </c>
      <c r="CF145" s="7" t="e">
        <f>IF(#REF!="","",IF(AND($CE145&gt;0,#REF!= "GRENACHE N"),#REF!,0))</f>
        <v>#REF!</v>
      </c>
      <c r="CG145" s="7" t="e">
        <f>IF(#REF!="","",IF(AND($CE145&gt;0,#REF!="SYRAH N"),#REF!,0))</f>
        <v>#REF!</v>
      </c>
      <c r="CH145" s="7" t="e">
        <f>IF(#REF!="","",IF(AND($CE145&gt;0,#REF!="CINSAUT N"),#REF!,0))</f>
        <v>#REF!</v>
      </c>
      <c r="CI145" s="7" t="e">
        <f>IF(#REF!="","",IF(AND($CE145&gt;0,#REF!="TIBOUREN N"),#REF!,0))</f>
        <v>#REF!</v>
      </c>
      <c r="CJ145" s="7" t="e">
        <f>IF(#REF!="","",IF(AND($CE145&gt;0,#REF!="MOURVEDRE N"),#REF!,0))</f>
        <v>#REF!</v>
      </c>
      <c r="CK145" s="7" t="e">
        <f>IF(#REF!="","",IF(AND($CE145&gt;0,#REF!="CARIGNAN N"),#REF!,0))</f>
        <v>#REF!</v>
      </c>
      <c r="CL145" s="7" t="e">
        <f>IF(#REF!="","",IF(AND($CE145&gt;0,#REF!="CABERNET SAUVIGNON N"),#REF!,0))</f>
        <v>#REF!</v>
      </c>
      <c r="CM145" s="7" t="e">
        <f>IF(#REF!="","",IF(AND($CE145&gt;0,#REF!="VERMENTINO B"),#REF!,0))</f>
        <v>#REF!</v>
      </c>
      <c r="CN145" s="7" t="e">
        <f>IF(#REF!="","",IF(AND($CE145&gt;0,#REF!="UGNI BLANC B"),#REF!,0))</f>
        <v>#REF!</v>
      </c>
      <c r="CO145" s="7" t="e">
        <f>IF(#REF!="","",IF(AND($CE145&gt;0,#REF!="CLAIRETTE B"),#REF!,0))</f>
        <v>#REF!</v>
      </c>
      <c r="CP145" s="7" t="e">
        <f>IF(#REF!="","",IF(AND($CE145&gt;0,#REF!="semillon B"),#REF!,0))</f>
        <v>#REF!</v>
      </c>
      <c r="CQ145" s="7" t="e">
        <f>IF(#REF!="","",IF(CE145=0,CC145,0))</f>
        <v>#REF!</v>
      </c>
      <c r="CR145" s="17"/>
      <c r="DE145"/>
    </row>
    <row r="146" spans="81:109" x14ac:dyDescent="0.25">
      <c r="CC146" s="7" t="e">
        <f>IF(#REF!="","",IF(#REF!="PF",#REF!,0))</f>
        <v>#REF!</v>
      </c>
      <c r="CD146" s="7" t="e">
        <f>IF(#REF!="","",IF(#REF!="PF",IF((#REF!+4)&lt;YEAR(#REF!),0,#REF!),0))</f>
        <v>#REF!</v>
      </c>
      <c r="CE146" s="7" t="e">
        <f>IF(#REF!="","",IF(AND(CD146&gt;0,#REF!&lt;&gt;""),CC146,0))</f>
        <v>#REF!</v>
      </c>
      <c r="CF146" s="7" t="e">
        <f>IF(#REF!="","",IF(AND($CE146&gt;0,#REF!= "GRENACHE N"),#REF!,0))</f>
        <v>#REF!</v>
      </c>
      <c r="CG146" s="7" t="e">
        <f>IF(#REF!="","",IF(AND($CE146&gt;0,#REF!="SYRAH N"),#REF!,0))</f>
        <v>#REF!</v>
      </c>
      <c r="CH146" s="7" t="e">
        <f>IF(#REF!="","",IF(AND($CE146&gt;0,#REF!="CINSAUT N"),#REF!,0))</f>
        <v>#REF!</v>
      </c>
      <c r="CI146" s="7" t="e">
        <f>IF(#REF!="","",IF(AND($CE146&gt;0,#REF!="TIBOUREN N"),#REF!,0))</f>
        <v>#REF!</v>
      </c>
      <c r="CJ146" s="7" t="e">
        <f>IF(#REF!="","",IF(AND($CE146&gt;0,#REF!="MOURVEDRE N"),#REF!,0))</f>
        <v>#REF!</v>
      </c>
      <c r="CK146" s="7" t="e">
        <f>IF(#REF!="","",IF(AND($CE146&gt;0,#REF!="CARIGNAN N"),#REF!,0))</f>
        <v>#REF!</v>
      </c>
      <c r="CL146" s="7" t="e">
        <f>IF(#REF!="","",IF(AND($CE146&gt;0,#REF!="CABERNET SAUVIGNON N"),#REF!,0))</f>
        <v>#REF!</v>
      </c>
      <c r="CM146" s="7" t="e">
        <f>IF(#REF!="","",IF(AND($CE146&gt;0,#REF!="VERMENTINO B"),#REF!,0))</f>
        <v>#REF!</v>
      </c>
      <c r="CN146" s="7" t="e">
        <f>IF(#REF!="","",IF(AND($CE146&gt;0,#REF!="UGNI BLANC B"),#REF!,0))</f>
        <v>#REF!</v>
      </c>
      <c r="CO146" s="7" t="e">
        <f>IF(#REF!="","",IF(AND($CE146&gt;0,#REF!="CLAIRETTE B"),#REF!,0))</f>
        <v>#REF!</v>
      </c>
      <c r="CP146" s="7" t="e">
        <f>IF(#REF!="","",IF(AND($CE146&gt;0,#REF!="semillon B"),#REF!,0))</f>
        <v>#REF!</v>
      </c>
      <c r="CQ146" s="7" t="e">
        <f>IF(#REF!="","",IF(CE146=0,CC146,0))</f>
        <v>#REF!</v>
      </c>
      <c r="CR146" s="17"/>
      <c r="DE146"/>
    </row>
    <row r="147" spans="81:109" x14ac:dyDescent="0.25">
      <c r="CC147" s="7" t="e">
        <f>IF(#REF!="","",IF(#REF!="PF",#REF!,0))</f>
        <v>#REF!</v>
      </c>
      <c r="CD147" s="7" t="e">
        <f>IF(#REF!="","",IF(#REF!="PF",IF((#REF!+4)&lt;YEAR(#REF!),0,#REF!),0))</f>
        <v>#REF!</v>
      </c>
      <c r="CE147" s="7" t="e">
        <f>IF(#REF!="","",IF(AND(CD147&gt;0,#REF!&lt;&gt;""),CC147,0))</f>
        <v>#REF!</v>
      </c>
      <c r="CF147" s="7" t="e">
        <f>IF(#REF!="","",IF(AND($CE147&gt;0,#REF!= "GRENACHE N"),#REF!,0))</f>
        <v>#REF!</v>
      </c>
      <c r="CG147" s="7" t="e">
        <f>IF(#REF!="","",IF(AND($CE147&gt;0,#REF!="SYRAH N"),#REF!,0))</f>
        <v>#REF!</v>
      </c>
      <c r="CH147" s="7" t="e">
        <f>IF(#REF!="","",IF(AND($CE147&gt;0,#REF!="CINSAUT N"),#REF!,0))</f>
        <v>#REF!</v>
      </c>
      <c r="CI147" s="7" t="e">
        <f>IF(#REF!="","",IF(AND($CE147&gt;0,#REF!="TIBOUREN N"),#REF!,0))</f>
        <v>#REF!</v>
      </c>
      <c r="CJ147" s="7" t="e">
        <f>IF(#REF!="","",IF(AND($CE147&gt;0,#REF!="MOURVEDRE N"),#REF!,0))</f>
        <v>#REF!</v>
      </c>
      <c r="CK147" s="7" t="e">
        <f>IF(#REF!="","",IF(AND($CE147&gt;0,#REF!="CARIGNAN N"),#REF!,0))</f>
        <v>#REF!</v>
      </c>
      <c r="CL147" s="7" t="e">
        <f>IF(#REF!="","",IF(AND($CE147&gt;0,#REF!="CABERNET SAUVIGNON N"),#REF!,0))</f>
        <v>#REF!</v>
      </c>
      <c r="CM147" s="7" t="e">
        <f>IF(#REF!="","",IF(AND($CE147&gt;0,#REF!="VERMENTINO B"),#REF!,0))</f>
        <v>#REF!</v>
      </c>
      <c r="CN147" s="7" t="e">
        <f>IF(#REF!="","",IF(AND($CE147&gt;0,#REF!="UGNI BLANC B"),#REF!,0))</f>
        <v>#REF!</v>
      </c>
      <c r="CO147" s="7" t="e">
        <f>IF(#REF!="","",IF(AND($CE147&gt;0,#REF!="CLAIRETTE B"),#REF!,0))</f>
        <v>#REF!</v>
      </c>
      <c r="CP147" s="7" t="e">
        <f>IF(#REF!="","",IF(AND($CE147&gt;0,#REF!="semillon B"),#REF!,0))</f>
        <v>#REF!</v>
      </c>
      <c r="CQ147" s="7" t="e">
        <f>IF(#REF!="","",IF(CE147=0,CC147,0))</f>
        <v>#REF!</v>
      </c>
      <c r="CR147" s="17"/>
      <c r="DE147"/>
    </row>
    <row r="148" spans="81:109" x14ac:dyDescent="0.25">
      <c r="CC148" s="7" t="e">
        <f>IF(#REF!="","",IF(#REF!="PF",#REF!,0))</f>
        <v>#REF!</v>
      </c>
      <c r="CD148" s="7" t="e">
        <f>IF(#REF!="","",IF(#REF!="PF",IF((#REF!+4)&lt;YEAR(#REF!),0,#REF!),0))</f>
        <v>#REF!</v>
      </c>
      <c r="CE148" s="7" t="e">
        <f>IF(#REF!="","",IF(AND(CD148&gt;0,#REF!&lt;&gt;""),CC148,0))</f>
        <v>#REF!</v>
      </c>
      <c r="CF148" s="7" t="e">
        <f>IF(#REF!="","",IF(AND($CE148&gt;0,#REF!= "GRENACHE N"),#REF!,0))</f>
        <v>#REF!</v>
      </c>
      <c r="CG148" s="7" t="e">
        <f>IF(#REF!="","",IF(AND($CE148&gt;0,#REF!="SYRAH N"),#REF!,0))</f>
        <v>#REF!</v>
      </c>
      <c r="CH148" s="7" t="e">
        <f>IF(#REF!="","",IF(AND($CE148&gt;0,#REF!="CINSAUT N"),#REF!,0))</f>
        <v>#REF!</v>
      </c>
      <c r="CI148" s="7" t="e">
        <f>IF(#REF!="","",IF(AND($CE148&gt;0,#REF!="TIBOUREN N"),#REF!,0))</f>
        <v>#REF!</v>
      </c>
      <c r="CJ148" s="7" t="e">
        <f>IF(#REF!="","",IF(AND($CE148&gt;0,#REF!="MOURVEDRE N"),#REF!,0))</f>
        <v>#REF!</v>
      </c>
      <c r="CK148" s="7" t="e">
        <f>IF(#REF!="","",IF(AND($CE148&gt;0,#REF!="CARIGNAN N"),#REF!,0))</f>
        <v>#REF!</v>
      </c>
      <c r="CL148" s="7" t="e">
        <f>IF(#REF!="","",IF(AND($CE148&gt;0,#REF!="CABERNET SAUVIGNON N"),#REF!,0))</f>
        <v>#REF!</v>
      </c>
      <c r="CM148" s="7" t="e">
        <f>IF(#REF!="","",IF(AND($CE148&gt;0,#REF!="VERMENTINO B"),#REF!,0))</f>
        <v>#REF!</v>
      </c>
      <c r="CN148" s="7" t="e">
        <f>IF(#REF!="","",IF(AND($CE148&gt;0,#REF!="UGNI BLANC B"),#REF!,0))</f>
        <v>#REF!</v>
      </c>
      <c r="CO148" s="7" t="e">
        <f>IF(#REF!="","",IF(AND($CE148&gt;0,#REF!="CLAIRETTE B"),#REF!,0))</f>
        <v>#REF!</v>
      </c>
      <c r="CP148" s="7" t="e">
        <f>IF(#REF!="","",IF(AND($CE148&gt;0,#REF!="semillon B"),#REF!,0))</f>
        <v>#REF!</v>
      </c>
      <c r="CQ148" s="7" t="e">
        <f>IF(#REF!="","",IF(CE148=0,CC148,0))</f>
        <v>#REF!</v>
      </c>
      <c r="CR148" s="17"/>
      <c r="DE148"/>
    </row>
    <row r="149" spans="81:109" x14ac:dyDescent="0.25">
      <c r="CC149" s="7" t="e">
        <f>IF(#REF!="","",IF(#REF!="PF",#REF!,0))</f>
        <v>#REF!</v>
      </c>
      <c r="CD149" s="7" t="e">
        <f>IF(#REF!="","",IF(#REF!="PF",IF((#REF!+4)&lt;YEAR(#REF!),0,#REF!),0))</f>
        <v>#REF!</v>
      </c>
      <c r="CE149" s="7" t="e">
        <f>IF(#REF!="","",IF(AND(CD149&gt;0,#REF!&lt;&gt;""),CC149,0))</f>
        <v>#REF!</v>
      </c>
      <c r="CF149" s="7" t="e">
        <f>IF(#REF!="","",IF(AND($CE149&gt;0,#REF!= "GRENACHE N"),#REF!,0))</f>
        <v>#REF!</v>
      </c>
      <c r="CG149" s="7" t="e">
        <f>IF(#REF!="","",IF(AND($CE149&gt;0,#REF!="SYRAH N"),#REF!,0))</f>
        <v>#REF!</v>
      </c>
      <c r="CH149" s="7" t="e">
        <f>IF(#REF!="","",IF(AND($CE149&gt;0,#REF!="CINSAUT N"),#REF!,0))</f>
        <v>#REF!</v>
      </c>
      <c r="CI149" s="7" t="e">
        <f>IF(#REF!="","",IF(AND($CE149&gt;0,#REF!="TIBOUREN N"),#REF!,0))</f>
        <v>#REF!</v>
      </c>
      <c r="CJ149" s="7" t="e">
        <f>IF(#REF!="","",IF(AND($CE149&gt;0,#REF!="MOURVEDRE N"),#REF!,0))</f>
        <v>#REF!</v>
      </c>
      <c r="CK149" s="7" t="e">
        <f>IF(#REF!="","",IF(AND($CE149&gt;0,#REF!="CARIGNAN N"),#REF!,0))</f>
        <v>#REF!</v>
      </c>
      <c r="CL149" s="7" t="e">
        <f>IF(#REF!="","",IF(AND($CE149&gt;0,#REF!="CABERNET SAUVIGNON N"),#REF!,0))</f>
        <v>#REF!</v>
      </c>
      <c r="CM149" s="7" t="e">
        <f>IF(#REF!="","",IF(AND($CE149&gt;0,#REF!="VERMENTINO B"),#REF!,0))</f>
        <v>#REF!</v>
      </c>
      <c r="CN149" s="7" t="e">
        <f>IF(#REF!="","",IF(AND($CE149&gt;0,#REF!="UGNI BLANC B"),#REF!,0))</f>
        <v>#REF!</v>
      </c>
      <c r="CO149" s="7" t="e">
        <f>IF(#REF!="","",IF(AND($CE149&gt;0,#REF!="CLAIRETTE B"),#REF!,0))</f>
        <v>#REF!</v>
      </c>
      <c r="CP149" s="7" t="e">
        <f>IF(#REF!="","",IF(AND($CE149&gt;0,#REF!="semillon B"),#REF!,0))</f>
        <v>#REF!</v>
      </c>
      <c r="CQ149" s="7" t="e">
        <f>IF(#REF!="","",IF(CE149=0,CC149,0))</f>
        <v>#REF!</v>
      </c>
      <c r="CR149" s="17"/>
      <c r="DE149"/>
    </row>
    <row r="150" spans="81:109" x14ac:dyDescent="0.25">
      <c r="CC150" s="7" t="e">
        <f>IF(#REF!="","",IF(#REF!="PF",#REF!,0))</f>
        <v>#REF!</v>
      </c>
      <c r="CD150" s="7" t="e">
        <f>IF(#REF!="","",IF(#REF!="PF",IF((#REF!+4)&lt;YEAR(#REF!),0,#REF!),0))</f>
        <v>#REF!</v>
      </c>
      <c r="CE150" s="7" t="e">
        <f>IF(#REF!="","",IF(AND(CD150&gt;0,#REF!&lt;&gt;""),CC150,0))</f>
        <v>#REF!</v>
      </c>
      <c r="CF150" s="7" t="e">
        <f>IF(#REF!="","",IF(AND($CE150&gt;0,#REF!= "GRENACHE N"),#REF!,0))</f>
        <v>#REF!</v>
      </c>
      <c r="CG150" s="7" t="e">
        <f>IF(#REF!="","",IF(AND($CE150&gt;0,#REF!="SYRAH N"),#REF!,0))</f>
        <v>#REF!</v>
      </c>
      <c r="CH150" s="7" t="e">
        <f>IF(#REF!="","",IF(AND($CE150&gt;0,#REF!="CINSAUT N"),#REF!,0))</f>
        <v>#REF!</v>
      </c>
      <c r="CI150" s="7" t="e">
        <f>IF(#REF!="","",IF(AND($CE150&gt;0,#REF!="TIBOUREN N"),#REF!,0))</f>
        <v>#REF!</v>
      </c>
      <c r="CJ150" s="7" t="e">
        <f>IF(#REF!="","",IF(AND($CE150&gt;0,#REF!="MOURVEDRE N"),#REF!,0))</f>
        <v>#REF!</v>
      </c>
      <c r="CK150" s="7" t="e">
        <f>IF(#REF!="","",IF(AND($CE150&gt;0,#REF!="CARIGNAN N"),#REF!,0))</f>
        <v>#REF!</v>
      </c>
      <c r="CL150" s="7" t="e">
        <f>IF(#REF!="","",IF(AND($CE150&gt;0,#REF!="CABERNET SAUVIGNON N"),#REF!,0))</f>
        <v>#REF!</v>
      </c>
      <c r="CM150" s="7" t="e">
        <f>IF(#REF!="","",IF(AND($CE150&gt;0,#REF!="VERMENTINO B"),#REF!,0))</f>
        <v>#REF!</v>
      </c>
      <c r="CN150" s="7" t="e">
        <f>IF(#REF!="","",IF(AND($CE150&gt;0,#REF!="UGNI BLANC B"),#REF!,0))</f>
        <v>#REF!</v>
      </c>
      <c r="CO150" s="7" t="e">
        <f>IF(#REF!="","",IF(AND($CE150&gt;0,#REF!="CLAIRETTE B"),#REF!,0))</f>
        <v>#REF!</v>
      </c>
      <c r="CP150" s="7" t="e">
        <f>IF(#REF!="","",IF(AND($CE150&gt;0,#REF!="semillon B"),#REF!,0))</f>
        <v>#REF!</v>
      </c>
      <c r="CQ150" s="7" t="e">
        <f>IF(#REF!="","",IF(CE150=0,CC150,0))</f>
        <v>#REF!</v>
      </c>
      <c r="CR150" s="17"/>
      <c r="DE150"/>
    </row>
    <row r="151" spans="81:109" x14ac:dyDescent="0.25">
      <c r="CC151" s="7" t="e">
        <f>IF(#REF!="","",IF(#REF!="PF",#REF!,0))</f>
        <v>#REF!</v>
      </c>
      <c r="CD151" s="7" t="e">
        <f>IF(#REF!="","",IF(#REF!="PF",IF((#REF!+4)&lt;YEAR(#REF!),0,#REF!),0))</f>
        <v>#REF!</v>
      </c>
      <c r="CE151" s="7" t="e">
        <f>IF(#REF!="","",IF(AND(CD151&gt;0,#REF!&lt;&gt;""),CC151,0))</f>
        <v>#REF!</v>
      </c>
      <c r="CF151" s="7" t="e">
        <f>IF(#REF!="","",IF(AND($CE151&gt;0,#REF!= "GRENACHE N"),#REF!,0))</f>
        <v>#REF!</v>
      </c>
      <c r="CG151" s="7" t="e">
        <f>IF(#REF!="","",IF(AND($CE151&gt;0,#REF!="SYRAH N"),#REF!,0))</f>
        <v>#REF!</v>
      </c>
      <c r="CH151" s="7" t="e">
        <f>IF(#REF!="","",IF(AND($CE151&gt;0,#REF!="CINSAUT N"),#REF!,0))</f>
        <v>#REF!</v>
      </c>
      <c r="CI151" s="7" t="e">
        <f>IF(#REF!="","",IF(AND($CE151&gt;0,#REF!="TIBOUREN N"),#REF!,0))</f>
        <v>#REF!</v>
      </c>
      <c r="CJ151" s="7" t="e">
        <f>IF(#REF!="","",IF(AND($CE151&gt;0,#REF!="MOURVEDRE N"),#REF!,0))</f>
        <v>#REF!</v>
      </c>
      <c r="CK151" s="7" t="e">
        <f>IF(#REF!="","",IF(AND($CE151&gt;0,#REF!="CARIGNAN N"),#REF!,0))</f>
        <v>#REF!</v>
      </c>
      <c r="CL151" s="7" t="e">
        <f>IF(#REF!="","",IF(AND($CE151&gt;0,#REF!="CABERNET SAUVIGNON N"),#REF!,0))</f>
        <v>#REF!</v>
      </c>
      <c r="CM151" s="7" t="e">
        <f>IF(#REF!="","",IF(AND($CE151&gt;0,#REF!="VERMENTINO B"),#REF!,0))</f>
        <v>#REF!</v>
      </c>
      <c r="CN151" s="7" t="e">
        <f>IF(#REF!="","",IF(AND($CE151&gt;0,#REF!="UGNI BLANC B"),#REF!,0))</f>
        <v>#REF!</v>
      </c>
      <c r="CO151" s="7" t="e">
        <f>IF(#REF!="","",IF(AND($CE151&gt;0,#REF!="CLAIRETTE B"),#REF!,0))</f>
        <v>#REF!</v>
      </c>
      <c r="CP151" s="7" t="e">
        <f>IF(#REF!="","",IF(AND($CE151&gt;0,#REF!="semillon B"),#REF!,0))</f>
        <v>#REF!</v>
      </c>
      <c r="CQ151" s="7" t="e">
        <f>IF(#REF!="","",IF(CE151=0,CC151,0))</f>
        <v>#REF!</v>
      </c>
      <c r="CR151" s="17"/>
      <c r="DE151"/>
    </row>
    <row r="152" spans="81:109" x14ac:dyDescent="0.25">
      <c r="CC152" s="7" t="e">
        <f>IF(#REF!="","",IF(#REF!="PF",#REF!,0))</f>
        <v>#REF!</v>
      </c>
      <c r="CD152" s="7" t="e">
        <f>IF(#REF!="","",IF(#REF!="PF",IF((#REF!+4)&lt;YEAR(#REF!),0,#REF!),0))</f>
        <v>#REF!</v>
      </c>
      <c r="CE152" s="7" t="e">
        <f>IF(#REF!="","",IF(AND(CD152&gt;0,#REF!&lt;&gt;""),CC152,0))</f>
        <v>#REF!</v>
      </c>
      <c r="CF152" s="7" t="e">
        <f>IF(#REF!="","",IF(AND($CE152&gt;0,#REF!= "GRENACHE N"),#REF!,0))</f>
        <v>#REF!</v>
      </c>
      <c r="CG152" s="7" t="e">
        <f>IF(#REF!="","",IF(AND($CE152&gt;0,#REF!="SYRAH N"),#REF!,0))</f>
        <v>#REF!</v>
      </c>
      <c r="CH152" s="7" t="e">
        <f>IF(#REF!="","",IF(AND($CE152&gt;0,#REF!="CINSAUT N"),#REF!,0))</f>
        <v>#REF!</v>
      </c>
      <c r="CI152" s="7" t="e">
        <f>IF(#REF!="","",IF(AND($CE152&gt;0,#REF!="TIBOUREN N"),#REF!,0))</f>
        <v>#REF!</v>
      </c>
      <c r="CJ152" s="7" t="e">
        <f>IF(#REF!="","",IF(AND($CE152&gt;0,#REF!="MOURVEDRE N"),#REF!,0))</f>
        <v>#REF!</v>
      </c>
      <c r="CK152" s="7" t="e">
        <f>IF(#REF!="","",IF(AND($CE152&gt;0,#REF!="CARIGNAN N"),#REF!,0))</f>
        <v>#REF!</v>
      </c>
      <c r="CL152" s="7" t="e">
        <f>IF(#REF!="","",IF(AND($CE152&gt;0,#REF!="CABERNET SAUVIGNON N"),#REF!,0))</f>
        <v>#REF!</v>
      </c>
      <c r="CM152" s="7" t="e">
        <f>IF(#REF!="","",IF(AND($CE152&gt;0,#REF!="VERMENTINO B"),#REF!,0))</f>
        <v>#REF!</v>
      </c>
      <c r="CN152" s="7" t="e">
        <f>IF(#REF!="","",IF(AND($CE152&gt;0,#REF!="UGNI BLANC B"),#REF!,0))</f>
        <v>#REF!</v>
      </c>
      <c r="CO152" s="7" t="e">
        <f>IF(#REF!="","",IF(AND($CE152&gt;0,#REF!="CLAIRETTE B"),#REF!,0))</f>
        <v>#REF!</v>
      </c>
      <c r="CP152" s="7" t="e">
        <f>IF(#REF!="","",IF(AND($CE152&gt;0,#REF!="semillon B"),#REF!,0))</f>
        <v>#REF!</v>
      </c>
      <c r="CQ152" s="7" t="e">
        <f>IF(#REF!="","",IF(CE152=0,CC152,0))</f>
        <v>#REF!</v>
      </c>
      <c r="CR152" s="17"/>
      <c r="DE152"/>
    </row>
    <row r="153" spans="81:109" x14ac:dyDescent="0.25">
      <c r="CC153" s="7" t="e">
        <f>IF(#REF!="","",IF(#REF!="PF",#REF!,0))</f>
        <v>#REF!</v>
      </c>
      <c r="CD153" s="7" t="e">
        <f>IF(#REF!="","",IF(#REF!="PF",IF((#REF!+4)&lt;YEAR(#REF!),0,#REF!),0))</f>
        <v>#REF!</v>
      </c>
      <c r="CE153" s="7" t="e">
        <f>IF(#REF!="","",IF(AND(CD153&gt;0,#REF!&lt;&gt;""),CC153,0))</f>
        <v>#REF!</v>
      </c>
      <c r="CF153" s="7" t="e">
        <f>IF(#REF!="","",IF(AND($CE153&gt;0,#REF!= "GRENACHE N"),#REF!,0))</f>
        <v>#REF!</v>
      </c>
      <c r="CG153" s="7" t="e">
        <f>IF(#REF!="","",IF(AND($CE153&gt;0,#REF!="SYRAH N"),#REF!,0))</f>
        <v>#REF!</v>
      </c>
      <c r="CH153" s="7" t="e">
        <f>IF(#REF!="","",IF(AND($CE153&gt;0,#REF!="CINSAUT N"),#REF!,0))</f>
        <v>#REF!</v>
      </c>
      <c r="CI153" s="7" t="e">
        <f>IF(#REF!="","",IF(AND($CE153&gt;0,#REF!="TIBOUREN N"),#REF!,0))</f>
        <v>#REF!</v>
      </c>
      <c r="CJ153" s="7" t="e">
        <f>IF(#REF!="","",IF(AND($CE153&gt;0,#REF!="MOURVEDRE N"),#REF!,0))</f>
        <v>#REF!</v>
      </c>
      <c r="CK153" s="7" t="e">
        <f>IF(#REF!="","",IF(AND($CE153&gt;0,#REF!="CARIGNAN N"),#REF!,0))</f>
        <v>#REF!</v>
      </c>
      <c r="CL153" s="7" t="e">
        <f>IF(#REF!="","",IF(AND($CE153&gt;0,#REF!="CABERNET SAUVIGNON N"),#REF!,0))</f>
        <v>#REF!</v>
      </c>
      <c r="CM153" s="7" t="e">
        <f>IF(#REF!="","",IF(AND($CE153&gt;0,#REF!="VERMENTINO B"),#REF!,0))</f>
        <v>#REF!</v>
      </c>
      <c r="CN153" s="7" t="e">
        <f>IF(#REF!="","",IF(AND($CE153&gt;0,#REF!="UGNI BLANC B"),#REF!,0))</f>
        <v>#REF!</v>
      </c>
      <c r="CO153" s="7" t="e">
        <f>IF(#REF!="","",IF(AND($CE153&gt;0,#REF!="CLAIRETTE B"),#REF!,0))</f>
        <v>#REF!</v>
      </c>
      <c r="CP153" s="7" t="e">
        <f>IF(#REF!="","",IF(AND($CE153&gt;0,#REF!="semillon B"),#REF!,0))</f>
        <v>#REF!</v>
      </c>
      <c r="CQ153" s="7" t="e">
        <f>IF(#REF!="","",IF(CE153=0,CC153,0))</f>
        <v>#REF!</v>
      </c>
      <c r="CR153" s="17"/>
      <c r="DE153"/>
    </row>
    <row r="154" spans="81:109" x14ac:dyDescent="0.25">
      <c r="CC154" s="7" t="e">
        <f>IF(#REF!="","",IF(#REF!="PF",#REF!,0))</f>
        <v>#REF!</v>
      </c>
      <c r="CD154" s="7" t="e">
        <f>IF(#REF!="","",IF(#REF!="PF",IF((#REF!+4)&lt;YEAR(#REF!),0,#REF!),0))</f>
        <v>#REF!</v>
      </c>
      <c r="CE154" s="7" t="e">
        <f>IF(#REF!="","",IF(AND(CD154&gt;0,#REF!&lt;&gt;""),CC154,0))</f>
        <v>#REF!</v>
      </c>
      <c r="CF154" s="7" t="e">
        <f>IF(#REF!="","",IF(AND($CE154&gt;0,#REF!= "GRENACHE N"),#REF!,0))</f>
        <v>#REF!</v>
      </c>
      <c r="CG154" s="7" t="e">
        <f>IF(#REF!="","",IF(AND($CE154&gt;0,#REF!="SYRAH N"),#REF!,0))</f>
        <v>#REF!</v>
      </c>
      <c r="CH154" s="7" t="e">
        <f>IF(#REF!="","",IF(AND($CE154&gt;0,#REF!="CINSAUT N"),#REF!,0))</f>
        <v>#REF!</v>
      </c>
      <c r="CI154" s="7" t="e">
        <f>IF(#REF!="","",IF(AND($CE154&gt;0,#REF!="TIBOUREN N"),#REF!,0))</f>
        <v>#REF!</v>
      </c>
      <c r="CJ154" s="7" t="e">
        <f>IF(#REF!="","",IF(AND($CE154&gt;0,#REF!="MOURVEDRE N"),#REF!,0))</f>
        <v>#REF!</v>
      </c>
      <c r="CK154" s="7" t="e">
        <f>IF(#REF!="","",IF(AND($CE154&gt;0,#REF!="CARIGNAN N"),#REF!,0))</f>
        <v>#REF!</v>
      </c>
      <c r="CL154" s="7" t="e">
        <f>IF(#REF!="","",IF(AND($CE154&gt;0,#REF!="CABERNET SAUVIGNON N"),#REF!,0))</f>
        <v>#REF!</v>
      </c>
      <c r="CM154" s="7" t="e">
        <f>IF(#REF!="","",IF(AND($CE154&gt;0,#REF!="VERMENTINO B"),#REF!,0))</f>
        <v>#REF!</v>
      </c>
      <c r="CN154" s="7" t="e">
        <f>IF(#REF!="","",IF(AND($CE154&gt;0,#REF!="UGNI BLANC B"),#REF!,0))</f>
        <v>#REF!</v>
      </c>
      <c r="CO154" s="7" t="e">
        <f>IF(#REF!="","",IF(AND($CE154&gt;0,#REF!="CLAIRETTE B"),#REF!,0))</f>
        <v>#REF!</v>
      </c>
      <c r="CP154" s="7" t="e">
        <f>IF(#REF!="","",IF(AND($CE154&gt;0,#REF!="semillon B"),#REF!,0))</f>
        <v>#REF!</v>
      </c>
      <c r="CQ154" s="7" t="e">
        <f>IF(#REF!="","",IF(CE154=0,CC154,0))</f>
        <v>#REF!</v>
      </c>
      <c r="CR154" s="17"/>
      <c r="DE154"/>
    </row>
    <row r="155" spans="81:109" x14ac:dyDescent="0.25">
      <c r="CC155" s="7" t="e">
        <f>IF(#REF!="","",IF(#REF!="PF",#REF!,0))</f>
        <v>#REF!</v>
      </c>
      <c r="CD155" s="7" t="e">
        <f>IF(#REF!="","",IF(#REF!="PF",IF((#REF!+4)&lt;YEAR(#REF!),0,#REF!),0))</f>
        <v>#REF!</v>
      </c>
      <c r="CE155" s="7" t="e">
        <f>IF(#REF!="","",IF(AND(CD155&gt;0,#REF!&lt;&gt;""),CC155,0))</f>
        <v>#REF!</v>
      </c>
      <c r="CF155" s="7" t="e">
        <f>IF(#REF!="","",IF(AND($CE155&gt;0,#REF!= "GRENACHE N"),#REF!,0))</f>
        <v>#REF!</v>
      </c>
      <c r="CG155" s="7" t="e">
        <f>IF(#REF!="","",IF(AND($CE155&gt;0,#REF!="SYRAH N"),#REF!,0))</f>
        <v>#REF!</v>
      </c>
      <c r="CH155" s="7" t="e">
        <f>IF(#REF!="","",IF(AND($CE155&gt;0,#REF!="CINSAUT N"),#REF!,0))</f>
        <v>#REF!</v>
      </c>
      <c r="CI155" s="7" t="e">
        <f>IF(#REF!="","",IF(AND($CE155&gt;0,#REF!="TIBOUREN N"),#REF!,0))</f>
        <v>#REF!</v>
      </c>
      <c r="CJ155" s="7" t="e">
        <f>IF(#REF!="","",IF(AND($CE155&gt;0,#REF!="MOURVEDRE N"),#REF!,0))</f>
        <v>#REF!</v>
      </c>
      <c r="CK155" s="7" t="e">
        <f>IF(#REF!="","",IF(AND($CE155&gt;0,#REF!="CARIGNAN N"),#REF!,0))</f>
        <v>#REF!</v>
      </c>
      <c r="CL155" s="7" t="e">
        <f>IF(#REF!="","",IF(AND($CE155&gt;0,#REF!="CABERNET SAUVIGNON N"),#REF!,0))</f>
        <v>#REF!</v>
      </c>
      <c r="CM155" s="7" t="e">
        <f>IF(#REF!="","",IF(AND($CE155&gt;0,#REF!="VERMENTINO B"),#REF!,0))</f>
        <v>#REF!</v>
      </c>
      <c r="CN155" s="7" t="e">
        <f>IF(#REF!="","",IF(AND($CE155&gt;0,#REF!="UGNI BLANC B"),#REF!,0))</f>
        <v>#REF!</v>
      </c>
      <c r="CO155" s="7" t="e">
        <f>IF(#REF!="","",IF(AND($CE155&gt;0,#REF!="CLAIRETTE B"),#REF!,0))</f>
        <v>#REF!</v>
      </c>
      <c r="CP155" s="7" t="e">
        <f>IF(#REF!="","",IF(AND($CE155&gt;0,#REF!="semillon B"),#REF!,0))</f>
        <v>#REF!</v>
      </c>
      <c r="CQ155" s="7" t="e">
        <f>IF(#REF!="","",IF(CE155=0,CC155,0))</f>
        <v>#REF!</v>
      </c>
      <c r="CR155" s="17"/>
      <c r="DE155"/>
    </row>
    <row r="156" spans="81:109" x14ac:dyDescent="0.25">
      <c r="CC156" s="7" t="e">
        <f>IF(#REF!="","",IF(#REF!="PF",#REF!,0))</f>
        <v>#REF!</v>
      </c>
      <c r="CD156" s="7" t="e">
        <f>IF(#REF!="","",IF(#REF!="PF",IF((#REF!+4)&lt;YEAR(#REF!),0,#REF!),0))</f>
        <v>#REF!</v>
      </c>
      <c r="CE156" s="7" t="e">
        <f>IF(#REF!="","",IF(AND(CD156&gt;0,#REF!&lt;&gt;""),CC156,0))</f>
        <v>#REF!</v>
      </c>
      <c r="CF156" s="7" t="e">
        <f>IF(#REF!="","",IF(AND($CE156&gt;0,#REF!= "GRENACHE N"),#REF!,0))</f>
        <v>#REF!</v>
      </c>
      <c r="CG156" s="7" t="e">
        <f>IF(#REF!="","",IF(AND($CE156&gt;0,#REF!="SYRAH N"),#REF!,0))</f>
        <v>#REF!</v>
      </c>
      <c r="CH156" s="7" t="e">
        <f>IF(#REF!="","",IF(AND($CE156&gt;0,#REF!="CINSAUT N"),#REF!,0))</f>
        <v>#REF!</v>
      </c>
      <c r="CI156" s="7" t="e">
        <f>IF(#REF!="","",IF(AND($CE156&gt;0,#REF!="TIBOUREN N"),#REF!,0))</f>
        <v>#REF!</v>
      </c>
      <c r="CJ156" s="7" t="e">
        <f>IF(#REF!="","",IF(AND($CE156&gt;0,#REF!="MOURVEDRE N"),#REF!,0))</f>
        <v>#REF!</v>
      </c>
      <c r="CK156" s="7" t="e">
        <f>IF(#REF!="","",IF(AND($CE156&gt;0,#REF!="CARIGNAN N"),#REF!,0))</f>
        <v>#REF!</v>
      </c>
      <c r="CL156" s="7" t="e">
        <f>IF(#REF!="","",IF(AND($CE156&gt;0,#REF!="CABERNET SAUVIGNON N"),#REF!,0))</f>
        <v>#REF!</v>
      </c>
      <c r="CM156" s="7" t="e">
        <f>IF(#REF!="","",IF(AND($CE156&gt;0,#REF!="VERMENTINO B"),#REF!,0))</f>
        <v>#REF!</v>
      </c>
      <c r="CN156" s="7" t="e">
        <f>IF(#REF!="","",IF(AND($CE156&gt;0,#REF!="UGNI BLANC B"),#REF!,0))</f>
        <v>#REF!</v>
      </c>
      <c r="CO156" s="7" t="e">
        <f>IF(#REF!="","",IF(AND($CE156&gt;0,#REF!="CLAIRETTE B"),#REF!,0))</f>
        <v>#REF!</v>
      </c>
      <c r="CP156" s="7" t="e">
        <f>IF(#REF!="","",IF(AND($CE156&gt;0,#REF!="semillon B"),#REF!,0))</f>
        <v>#REF!</v>
      </c>
      <c r="CQ156" s="7" t="e">
        <f>IF(#REF!="","",IF(CE156=0,CC156,0))</f>
        <v>#REF!</v>
      </c>
      <c r="CR156" s="17"/>
      <c r="DE156"/>
    </row>
    <row r="157" spans="81:109" x14ac:dyDescent="0.25">
      <c r="CC157" s="7" t="e">
        <f>IF(#REF!="","",IF(#REF!="PF",#REF!,0))</f>
        <v>#REF!</v>
      </c>
      <c r="CD157" s="7" t="e">
        <f>IF(#REF!="","",IF(#REF!="PF",IF((#REF!+4)&lt;YEAR(#REF!),0,#REF!),0))</f>
        <v>#REF!</v>
      </c>
      <c r="CE157" s="7" t="e">
        <f>IF(#REF!="","",IF(AND(CD157&gt;0,#REF!&lt;&gt;""),CC157,0))</f>
        <v>#REF!</v>
      </c>
      <c r="CF157" s="7" t="e">
        <f>IF(#REF!="","",IF(AND($CE157&gt;0,#REF!= "GRENACHE N"),#REF!,0))</f>
        <v>#REF!</v>
      </c>
      <c r="CG157" s="7" t="e">
        <f>IF(#REF!="","",IF(AND($CE157&gt;0,#REF!="SYRAH N"),#REF!,0))</f>
        <v>#REF!</v>
      </c>
      <c r="CH157" s="7" t="e">
        <f>IF(#REF!="","",IF(AND($CE157&gt;0,#REF!="CINSAUT N"),#REF!,0))</f>
        <v>#REF!</v>
      </c>
      <c r="CI157" s="7" t="e">
        <f>IF(#REF!="","",IF(AND($CE157&gt;0,#REF!="TIBOUREN N"),#REF!,0))</f>
        <v>#REF!</v>
      </c>
      <c r="CJ157" s="7" t="e">
        <f>IF(#REF!="","",IF(AND($CE157&gt;0,#REF!="MOURVEDRE N"),#REF!,0))</f>
        <v>#REF!</v>
      </c>
      <c r="CK157" s="7" t="e">
        <f>IF(#REF!="","",IF(AND($CE157&gt;0,#REF!="CARIGNAN N"),#REF!,0))</f>
        <v>#REF!</v>
      </c>
      <c r="CL157" s="7" t="e">
        <f>IF(#REF!="","",IF(AND($CE157&gt;0,#REF!="CABERNET SAUVIGNON N"),#REF!,0))</f>
        <v>#REF!</v>
      </c>
      <c r="CM157" s="7" t="e">
        <f>IF(#REF!="","",IF(AND($CE157&gt;0,#REF!="VERMENTINO B"),#REF!,0))</f>
        <v>#REF!</v>
      </c>
      <c r="CN157" s="7" t="e">
        <f>IF(#REF!="","",IF(AND($CE157&gt;0,#REF!="UGNI BLANC B"),#REF!,0))</f>
        <v>#REF!</v>
      </c>
      <c r="CO157" s="7" t="e">
        <f>IF(#REF!="","",IF(AND($CE157&gt;0,#REF!="CLAIRETTE B"),#REF!,0))</f>
        <v>#REF!</v>
      </c>
      <c r="CP157" s="7" t="e">
        <f>IF(#REF!="","",IF(AND($CE157&gt;0,#REF!="semillon B"),#REF!,0))</f>
        <v>#REF!</v>
      </c>
      <c r="CQ157" s="7" t="e">
        <f>IF(#REF!="","",IF(CE157=0,CC157,0))</f>
        <v>#REF!</v>
      </c>
      <c r="CR157" s="17"/>
      <c r="DE157"/>
    </row>
    <row r="158" spans="81:109" x14ac:dyDescent="0.25">
      <c r="CC158" s="7" t="e">
        <f>IF(#REF!="","",IF(#REF!="PF",#REF!,0))</f>
        <v>#REF!</v>
      </c>
      <c r="CD158" s="7" t="e">
        <f>IF(#REF!="","",IF(#REF!="PF",IF((#REF!+4)&lt;YEAR(#REF!),0,#REF!),0))</f>
        <v>#REF!</v>
      </c>
      <c r="CE158" s="7" t="e">
        <f>IF(#REF!="","",IF(AND(CD158&gt;0,#REF!&lt;&gt;""),CC158,0))</f>
        <v>#REF!</v>
      </c>
      <c r="CF158" s="7" t="e">
        <f>IF(#REF!="","",IF(AND($CE158&gt;0,#REF!= "GRENACHE N"),#REF!,0))</f>
        <v>#REF!</v>
      </c>
      <c r="CG158" s="7" t="e">
        <f>IF(#REF!="","",IF(AND($CE158&gt;0,#REF!="SYRAH N"),#REF!,0))</f>
        <v>#REF!</v>
      </c>
      <c r="CH158" s="7" t="e">
        <f>IF(#REF!="","",IF(AND($CE158&gt;0,#REF!="CINSAUT N"),#REF!,0))</f>
        <v>#REF!</v>
      </c>
      <c r="CI158" s="7" t="e">
        <f>IF(#REF!="","",IF(AND($CE158&gt;0,#REF!="TIBOUREN N"),#REF!,0))</f>
        <v>#REF!</v>
      </c>
      <c r="CJ158" s="7" t="e">
        <f>IF(#REF!="","",IF(AND($CE158&gt;0,#REF!="MOURVEDRE N"),#REF!,0))</f>
        <v>#REF!</v>
      </c>
      <c r="CK158" s="7" t="e">
        <f>IF(#REF!="","",IF(AND($CE158&gt;0,#REF!="CARIGNAN N"),#REF!,0))</f>
        <v>#REF!</v>
      </c>
      <c r="CL158" s="7" t="e">
        <f>IF(#REF!="","",IF(AND($CE158&gt;0,#REF!="CABERNET SAUVIGNON N"),#REF!,0))</f>
        <v>#REF!</v>
      </c>
      <c r="CM158" s="7" t="e">
        <f>IF(#REF!="","",IF(AND($CE158&gt;0,#REF!="VERMENTINO B"),#REF!,0))</f>
        <v>#REF!</v>
      </c>
      <c r="CN158" s="7" t="e">
        <f>IF(#REF!="","",IF(AND($CE158&gt;0,#REF!="UGNI BLANC B"),#REF!,0))</f>
        <v>#REF!</v>
      </c>
      <c r="CO158" s="7" t="e">
        <f>IF(#REF!="","",IF(AND($CE158&gt;0,#REF!="CLAIRETTE B"),#REF!,0))</f>
        <v>#REF!</v>
      </c>
      <c r="CP158" s="7" t="e">
        <f>IF(#REF!="","",IF(AND($CE158&gt;0,#REF!="semillon B"),#REF!,0))</f>
        <v>#REF!</v>
      </c>
      <c r="CQ158" s="7" t="e">
        <f>IF(#REF!="","",IF(CE158=0,CC158,0))</f>
        <v>#REF!</v>
      </c>
      <c r="CR158" s="17"/>
      <c r="DE158"/>
    </row>
    <row r="159" spans="81:109" x14ac:dyDescent="0.25">
      <c r="CC159" s="7" t="e">
        <f>IF(#REF!="","",IF(#REF!="PF",#REF!,0))</f>
        <v>#REF!</v>
      </c>
      <c r="CD159" s="7" t="e">
        <f>IF(#REF!="","",IF(#REF!="PF",IF((#REF!+4)&lt;YEAR(#REF!),0,#REF!),0))</f>
        <v>#REF!</v>
      </c>
      <c r="CE159" s="7" t="e">
        <f>IF(#REF!="","",IF(AND(CD159&gt;0,#REF!&lt;&gt;""),CC159,0))</f>
        <v>#REF!</v>
      </c>
      <c r="CF159" s="7" t="e">
        <f>IF(#REF!="","",IF(AND($CE159&gt;0,#REF!= "GRENACHE N"),#REF!,0))</f>
        <v>#REF!</v>
      </c>
      <c r="CG159" s="7" t="e">
        <f>IF(#REF!="","",IF(AND($CE159&gt;0,#REF!="SYRAH N"),#REF!,0))</f>
        <v>#REF!</v>
      </c>
      <c r="CH159" s="7" t="e">
        <f>IF(#REF!="","",IF(AND($CE159&gt;0,#REF!="CINSAUT N"),#REF!,0))</f>
        <v>#REF!</v>
      </c>
      <c r="CI159" s="7" t="e">
        <f>IF(#REF!="","",IF(AND($CE159&gt;0,#REF!="TIBOUREN N"),#REF!,0))</f>
        <v>#REF!</v>
      </c>
      <c r="CJ159" s="7" t="e">
        <f>IF(#REF!="","",IF(AND($CE159&gt;0,#REF!="MOURVEDRE N"),#REF!,0))</f>
        <v>#REF!</v>
      </c>
      <c r="CK159" s="7" t="e">
        <f>IF(#REF!="","",IF(AND($CE159&gt;0,#REF!="CARIGNAN N"),#REF!,0))</f>
        <v>#REF!</v>
      </c>
      <c r="CL159" s="7" t="e">
        <f>IF(#REF!="","",IF(AND($CE159&gt;0,#REF!="CABERNET SAUVIGNON N"),#REF!,0))</f>
        <v>#REF!</v>
      </c>
      <c r="CM159" s="7" t="e">
        <f>IF(#REF!="","",IF(AND($CE159&gt;0,#REF!="VERMENTINO B"),#REF!,0))</f>
        <v>#REF!</v>
      </c>
      <c r="CN159" s="7" t="e">
        <f>IF(#REF!="","",IF(AND($CE159&gt;0,#REF!="UGNI BLANC B"),#REF!,0))</f>
        <v>#REF!</v>
      </c>
      <c r="CO159" s="7" t="e">
        <f>IF(#REF!="","",IF(AND($CE159&gt;0,#REF!="CLAIRETTE B"),#REF!,0))</f>
        <v>#REF!</v>
      </c>
      <c r="CP159" s="7" t="e">
        <f>IF(#REF!="","",IF(AND($CE159&gt;0,#REF!="semillon B"),#REF!,0))</f>
        <v>#REF!</v>
      </c>
      <c r="CQ159" s="7" t="e">
        <f>IF(#REF!="","",IF(CE159=0,CC159,0))</f>
        <v>#REF!</v>
      </c>
      <c r="CR159" s="17"/>
      <c r="DE159"/>
    </row>
    <row r="160" spans="81:109" x14ac:dyDescent="0.25">
      <c r="CC160" s="7" t="e">
        <f>IF(#REF!="","",IF(#REF!="PF",#REF!,0))</f>
        <v>#REF!</v>
      </c>
      <c r="CD160" s="7" t="e">
        <f>IF(#REF!="","",IF(#REF!="PF",IF((#REF!+4)&lt;YEAR(#REF!),0,#REF!),0))</f>
        <v>#REF!</v>
      </c>
      <c r="CE160" s="7" t="e">
        <f>IF(#REF!="","",IF(AND(CD160&gt;0,#REF!&lt;&gt;""),CC160,0))</f>
        <v>#REF!</v>
      </c>
      <c r="CF160" s="7" t="e">
        <f>IF(#REF!="","",IF(AND($CE160&gt;0,#REF!= "GRENACHE N"),#REF!,0))</f>
        <v>#REF!</v>
      </c>
      <c r="CG160" s="7" t="e">
        <f>IF(#REF!="","",IF(AND($CE160&gt;0,#REF!="SYRAH N"),#REF!,0))</f>
        <v>#REF!</v>
      </c>
      <c r="CH160" s="7" t="e">
        <f>IF(#REF!="","",IF(AND($CE160&gt;0,#REF!="CINSAUT N"),#REF!,0))</f>
        <v>#REF!</v>
      </c>
      <c r="CI160" s="7" t="e">
        <f>IF(#REF!="","",IF(AND($CE160&gt;0,#REF!="TIBOUREN N"),#REF!,0))</f>
        <v>#REF!</v>
      </c>
      <c r="CJ160" s="7" t="e">
        <f>IF(#REF!="","",IF(AND($CE160&gt;0,#REF!="MOURVEDRE N"),#REF!,0))</f>
        <v>#REF!</v>
      </c>
      <c r="CK160" s="7" t="e">
        <f>IF(#REF!="","",IF(AND($CE160&gt;0,#REF!="CARIGNAN N"),#REF!,0))</f>
        <v>#REF!</v>
      </c>
      <c r="CL160" s="7" t="e">
        <f>IF(#REF!="","",IF(AND($CE160&gt;0,#REF!="CABERNET SAUVIGNON N"),#REF!,0))</f>
        <v>#REF!</v>
      </c>
      <c r="CM160" s="7" t="e">
        <f>IF(#REF!="","",IF(AND($CE160&gt;0,#REF!="VERMENTINO B"),#REF!,0))</f>
        <v>#REF!</v>
      </c>
      <c r="CN160" s="7" t="e">
        <f>IF(#REF!="","",IF(AND($CE160&gt;0,#REF!="UGNI BLANC B"),#REF!,0))</f>
        <v>#REF!</v>
      </c>
      <c r="CO160" s="7" t="e">
        <f>IF(#REF!="","",IF(AND($CE160&gt;0,#REF!="CLAIRETTE B"),#REF!,0))</f>
        <v>#REF!</v>
      </c>
      <c r="CP160" s="7" t="e">
        <f>IF(#REF!="","",IF(AND($CE160&gt;0,#REF!="semillon B"),#REF!,0))</f>
        <v>#REF!</v>
      </c>
      <c r="CQ160" s="7" t="e">
        <f>IF(#REF!="","",IF(CE160=0,CC160,0))</f>
        <v>#REF!</v>
      </c>
      <c r="CR160" s="17"/>
      <c r="DE160"/>
    </row>
    <row r="161" spans="81:109" x14ac:dyDescent="0.25">
      <c r="CC161" s="7" t="e">
        <f>IF(#REF!="","",IF(#REF!="PF",#REF!,0))</f>
        <v>#REF!</v>
      </c>
      <c r="CD161" s="7" t="e">
        <f>IF(#REF!="","",IF(#REF!="PF",IF((#REF!+4)&lt;YEAR(#REF!),0,#REF!),0))</f>
        <v>#REF!</v>
      </c>
      <c r="CE161" s="7" t="e">
        <f>IF(#REF!="","",IF(AND(CD161&gt;0,#REF!&lt;&gt;""),CC161,0))</f>
        <v>#REF!</v>
      </c>
      <c r="CF161" s="7" t="e">
        <f>IF(#REF!="","",IF(AND($CE161&gt;0,#REF!= "GRENACHE N"),#REF!,0))</f>
        <v>#REF!</v>
      </c>
      <c r="CG161" s="7" t="e">
        <f>IF(#REF!="","",IF(AND($CE161&gt;0,#REF!="SYRAH N"),#REF!,0))</f>
        <v>#REF!</v>
      </c>
      <c r="CH161" s="7" t="e">
        <f>IF(#REF!="","",IF(AND($CE161&gt;0,#REF!="CINSAUT N"),#REF!,0))</f>
        <v>#REF!</v>
      </c>
      <c r="CI161" s="7" t="e">
        <f>IF(#REF!="","",IF(AND($CE161&gt;0,#REF!="TIBOUREN N"),#REF!,0))</f>
        <v>#REF!</v>
      </c>
      <c r="CJ161" s="7" t="e">
        <f>IF(#REF!="","",IF(AND($CE161&gt;0,#REF!="MOURVEDRE N"),#REF!,0))</f>
        <v>#REF!</v>
      </c>
      <c r="CK161" s="7" t="e">
        <f>IF(#REF!="","",IF(AND($CE161&gt;0,#REF!="CARIGNAN N"),#REF!,0))</f>
        <v>#REF!</v>
      </c>
      <c r="CL161" s="7" t="e">
        <f>IF(#REF!="","",IF(AND($CE161&gt;0,#REF!="CABERNET SAUVIGNON N"),#REF!,0))</f>
        <v>#REF!</v>
      </c>
      <c r="CM161" s="7" t="e">
        <f>IF(#REF!="","",IF(AND($CE161&gt;0,#REF!="VERMENTINO B"),#REF!,0))</f>
        <v>#REF!</v>
      </c>
      <c r="CN161" s="7" t="e">
        <f>IF(#REF!="","",IF(AND($CE161&gt;0,#REF!="UGNI BLANC B"),#REF!,0))</f>
        <v>#REF!</v>
      </c>
      <c r="CO161" s="7" t="e">
        <f>IF(#REF!="","",IF(AND($CE161&gt;0,#REF!="CLAIRETTE B"),#REF!,0))</f>
        <v>#REF!</v>
      </c>
      <c r="CP161" s="7" t="e">
        <f>IF(#REF!="","",IF(AND($CE161&gt;0,#REF!="semillon B"),#REF!,0))</f>
        <v>#REF!</v>
      </c>
      <c r="CQ161" s="7" t="e">
        <f>IF(#REF!="","",IF(CE161=0,CC161,0))</f>
        <v>#REF!</v>
      </c>
      <c r="CR161" s="17"/>
      <c r="DE161"/>
    </row>
    <row r="162" spans="81:109" x14ac:dyDescent="0.25">
      <c r="CC162" s="7" t="e">
        <f>IF(#REF!="","",IF(#REF!="PF",#REF!,0))</f>
        <v>#REF!</v>
      </c>
      <c r="CD162" s="7" t="e">
        <f>IF(#REF!="","",IF(#REF!="PF",IF((#REF!+4)&lt;YEAR(#REF!),0,#REF!),0))</f>
        <v>#REF!</v>
      </c>
      <c r="CE162" s="7" t="e">
        <f>IF(#REF!="","",IF(AND(CD162&gt;0,#REF!&lt;&gt;""),CC162,0))</f>
        <v>#REF!</v>
      </c>
      <c r="CF162" s="7" t="e">
        <f>IF(#REF!="","",IF(AND($CE162&gt;0,#REF!= "GRENACHE N"),#REF!,0))</f>
        <v>#REF!</v>
      </c>
      <c r="CG162" s="7" t="e">
        <f>IF(#REF!="","",IF(AND($CE162&gt;0,#REF!="SYRAH N"),#REF!,0))</f>
        <v>#REF!</v>
      </c>
      <c r="CH162" s="7" t="e">
        <f>IF(#REF!="","",IF(AND($CE162&gt;0,#REF!="CINSAUT N"),#REF!,0))</f>
        <v>#REF!</v>
      </c>
      <c r="CI162" s="7" t="e">
        <f>IF(#REF!="","",IF(AND($CE162&gt;0,#REF!="TIBOUREN N"),#REF!,0))</f>
        <v>#REF!</v>
      </c>
      <c r="CJ162" s="7" t="e">
        <f>IF(#REF!="","",IF(AND($CE162&gt;0,#REF!="MOURVEDRE N"),#REF!,0))</f>
        <v>#REF!</v>
      </c>
      <c r="CK162" s="7" t="e">
        <f>IF(#REF!="","",IF(AND($CE162&gt;0,#REF!="CARIGNAN N"),#REF!,0))</f>
        <v>#REF!</v>
      </c>
      <c r="CL162" s="7" t="e">
        <f>IF(#REF!="","",IF(AND($CE162&gt;0,#REF!="CABERNET SAUVIGNON N"),#REF!,0))</f>
        <v>#REF!</v>
      </c>
      <c r="CM162" s="7" t="e">
        <f>IF(#REF!="","",IF(AND($CE162&gt;0,#REF!="VERMENTINO B"),#REF!,0))</f>
        <v>#REF!</v>
      </c>
      <c r="CN162" s="7" t="e">
        <f>IF(#REF!="","",IF(AND($CE162&gt;0,#REF!="UGNI BLANC B"),#REF!,0))</f>
        <v>#REF!</v>
      </c>
      <c r="CO162" s="7" t="e">
        <f>IF(#REF!="","",IF(AND($CE162&gt;0,#REF!="CLAIRETTE B"),#REF!,0))</f>
        <v>#REF!</v>
      </c>
      <c r="CP162" s="7" t="e">
        <f>IF(#REF!="","",IF(AND($CE162&gt;0,#REF!="semillon B"),#REF!,0))</f>
        <v>#REF!</v>
      </c>
      <c r="CQ162" s="7" t="e">
        <f>IF(#REF!="","",IF(CE162=0,CC162,0))</f>
        <v>#REF!</v>
      </c>
      <c r="CR162" s="17"/>
      <c r="DE162"/>
    </row>
    <row r="163" spans="81:109" x14ac:dyDescent="0.25">
      <c r="CC163" s="7" t="e">
        <f>IF(#REF!="","",IF(#REF!="PF",#REF!,0))</f>
        <v>#REF!</v>
      </c>
      <c r="CD163" s="7" t="e">
        <f>IF(#REF!="","",IF(#REF!="PF",IF((#REF!+4)&lt;YEAR(#REF!),0,#REF!),0))</f>
        <v>#REF!</v>
      </c>
      <c r="CE163" s="7" t="e">
        <f>IF(#REF!="","",IF(AND(CD163&gt;0,#REF!&lt;&gt;""),CC163,0))</f>
        <v>#REF!</v>
      </c>
      <c r="CF163" s="7" t="e">
        <f>IF(#REF!="","",IF(AND($CE163&gt;0,#REF!= "GRENACHE N"),#REF!,0))</f>
        <v>#REF!</v>
      </c>
      <c r="CG163" s="7" t="e">
        <f>IF(#REF!="","",IF(AND($CE163&gt;0,#REF!="SYRAH N"),#REF!,0))</f>
        <v>#REF!</v>
      </c>
      <c r="CH163" s="7" t="e">
        <f>IF(#REF!="","",IF(AND($CE163&gt;0,#REF!="CINSAUT N"),#REF!,0))</f>
        <v>#REF!</v>
      </c>
      <c r="CI163" s="7" t="e">
        <f>IF(#REF!="","",IF(AND($CE163&gt;0,#REF!="TIBOUREN N"),#REF!,0))</f>
        <v>#REF!</v>
      </c>
      <c r="CJ163" s="7" t="e">
        <f>IF(#REF!="","",IF(AND($CE163&gt;0,#REF!="MOURVEDRE N"),#REF!,0))</f>
        <v>#REF!</v>
      </c>
      <c r="CK163" s="7" t="e">
        <f>IF(#REF!="","",IF(AND($CE163&gt;0,#REF!="CARIGNAN N"),#REF!,0))</f>
        <v>#REF!</v>
      </c>
      <c r="CL163" s="7" t="e">
        <f>IF(#REF!="","",IF(AND($CE163&gt;0,#REF!="CABERNET SAUVIGNON N"),#REF!,0))</f>
        <v>#REF!</v>
      </c>
      <c r="CM163" s="7" t="e">
        <f>IF(#REF!="","",IF(AND($CE163&gt;0,#REF!="VERMENTINO B"),#REF!,0))</f>
        <v>#REF!</v>
      </c>
      <c r="CN163" s="7" t="e">
        <f>IF(#REF!="","",IF(AND($CE163&gt;0,#REF!="UGNI BLANC B"),#REF!,0))</f>
        <v>#REF!</v>
      </c>
      <c r="CO163" s="7" t="e">
        <f>IF(#REF!="","",IF(AND($CE163&gt;0,#REF!="CLAIRETTE B"),#REF!,0))</f>
        <v>#REF!</v>
      </c>
      <c r="CP163" s="7" t="e">
        <f>IF(#REF!="","",IF(AND($CE163&gt;0,#REF!="semillon B"),#REF!,0))</f>
        <v>#REF!</v>
      </c>
      <c r="CQ163" s="7" t="e">
        <f>IF(#REF!="","",IF(CE163=0,CC163,0))</f>
        <v>#REF!</v>
      </c>
      <c r="CR163" s="17"/>
      <c r="DE163"/>
    </row>
    <row r="164" spans="81:109" x14ac:dyDescent="0.25">
      <c r="CC164" s="7" t="e">
        <f>IF(#REF!="","",IF(#REF!="PF",#REF!,0))</f>
        <v>#REF!</v>
      </c>
      <c r="CD164" s="7" t="e">
        <f>IF(#REF!="","",IF(#REF!="PF",IF((#REF!+4)&lt;YEAR(#REF!),0,#REF!),0))</f>
        <v>#REF!</v>
      </c>
      <c r="CE164" s="7" t="e">
        <f>IF(#REF!="","",IF(AND(CD164&gt;0,#REF!&lt;&gt;""),CC164,0))</f>
        <v>#REF!</v>
      </c>
      <c r="CF164" s="7" t="e">
        <f>IF(#REF!="","",IF(AND($CE164&gt;0,#REF!= "GRENACHE N"),#REF!,0))</f>
        <v>#REF!</v>
      </c>
      <c r="CG164" s="7" t="e">
        <f>IF(#REF!="","",IF(AND($CE164&gt;0,#REF!="SYRAH N"),#REF!,0))</f>
        <v>#REF!</v>
      </c>
      <c r="CH164" s="7" t="e">
        <f>IF(#REF!="","",IF(AND($CE164&gt;0,#REF!="CINSAUT N"),#REF!,0))</f>
        <v>#REF!</v>
      </c>
      <c r="CI164" s="7" t="e">
        <f>IF(#REF!="","",IF(AND($CE164&gt;0,#REF!="TIBOUREN N"),#REF!,0))</f>
        <v>#REF!</v>
      </c>
      <c r="CJ164" s="7" t="e">
        <f>IF(#REF!="","",IF(AND($CE164&gt;0,#REF!="MOURVEDRE N"),#REF!,0))</f>
        <v>#REF!</v>
      </c>
      <c r="CK164" s="7" t="e">
        <f>IF(#REF!="","",IF(AND($CE164&gt;0,#REF!="CARIGNAN N"),#REF!,0))</f>
        <v>#REF!</v>
      </c>
      <c r="CL164" s="7" t="e">
        <f>IF(#REF!="","",IF(AND($CE164&gt;0,#REF!="CABERNET SAUVIGNON N"),#REF!,0))</f>
        <v>#REF!</v>
      </c>
      <c r="CM164" s="7" t="e">
        <f>IF(#REF!="","",IF(AND($CE164&gt;0,#REF!="VERMENTINO B"),#REF!,0))</f>
        <v>#REF!</v>
      </c>
      <c r="CN164" s="7" t="e">
        <f>IF(#REF!="","",IF(AND($CE164&gt;0,#REF!="UGNI BLANC B"),#REF!,0))</f>
        <v>#REF!</v>
      </c>
      <c r="CO164" s="7" t="e">
        <f>IF(#REF!="","",IF(AND($CE164&gt;0,#REF!="CLAIRETTE B"),#REF!,0))</f>
        <v>#REF!</v>
      </c>
      <c r="CP164" s="7" t="e">
        <f>IF(#REF!="","",IF(AND($CE164&gt;0,#REF!="semillon B"),#REF!,0))</f>
        <v>#REF!</v>
      </c>
      <c r="CQ164" s="7" t="e">
        <f>IF(#REF!="","",IF(CE164=0,CC164,0))</f>
        <v>#REF!</v>
      </c>
      <c r="CR164" s="17"/>
      <c r="DE164"/>
    </row>
    <row r="165" spans="81:109" x14ac:dyDescent="0.25">
      <c r="CC165" s="7" t="e">
        <f>IF(#REF!="","",IF(#REF!="PF",#REF!,0))</f>
        <v>#REF!</v>
      </c>
      <c r="CD165" s="7" t="e">
        <f>IF(#REF!="","",IF(#REF!="PF",IF((#REF!+4)&lt;YEAR(#REF!),0,#REF!),0))</f>
        <v>#REF!</v>
      </c>
      <c r="CE165" s="7" t="e">
        <f>IF(#REF!="","",IF(AND(CD165&gt;0,#REF!&lt;&gt;""),CC165,0))</f>
        <v>#REF!</v>
      </c>
      <c r="CF165" s="7" t="e">
        <f>IF(#REF!="","",IF(AND($CE165&gt;0,#REF!= "GRENACHE N"),#REF!,0))</f>
        <v>#REF!</v>
      </c>
      <c r="CG165" s="7" t="e">
        <f>IF(#REF!="","",IF(AND($CE165&gt;0,#REF!="SYRAH N"),#REF!,0))</f>
        <v>#REF!</v>
      </c>
      <c r="CH165" s="7" t="e">
        <f>IF(#REF!="","",IF(AND($CE165&gt;0,#REF!="CINSAUT N"),#REF!,0))</f>
        <v>#REF!</v>
      </c>
      <c r="CI165" s="7" t="e">
        <f>IF(#REF!="","",IF(AND($CE165&gt;0,#REF!="TIBOUREN N"),#REF!,0))</f>
        <v>#REF!</v>
      </c>
      <c r="CJ165" s="7" t="e">
        <f>IF(#REF!="","",IF(AND($CE165&gt;0,#REF!="MOURVEDRE N"),#REF!,0))</f>
        <v>#REF!</v>
      </c>
      <c r="CK165" s="7" t="e">
        <f>IF(#REF!="","",IF(AND($CE165&gt;0,#REF!="CARIGNAN N"),#REF!,0))</f>
        <v>#REF!</v>
      </c>
      <c r="CL165" s="7" t="e">
        <f>IF(#REF!="","",IF(AND($CE165&gt;0,#REF!="CABERNET SAUVIGNON N"),#REF!,0))</f>
        <v>#REF!</v>
      </c>
      <c r="CM165" s="7" t="e">
        <f>IF(#REF!="","",IF(AND($CE165&gt;0,#REF!="VERMENTINO B"),#REF!,0))</f>
        <v>#REF!</v>
      </c>
      <c r="CN165" s="7" t="e">
        <f>IF(#REF!="","",IF(AND($CE165&gt;0,#REF!="UGNI BLANC B"),#REF!,0))</f>
        <v>#REF!</v>
      </c>
      <c r="CO165" s="7" t="e">
        <f>IF(#REF!="","",IF(AND($CE165&gt;0,#REF!="CLAIRETTE B"),#REF!,0))</f>
        <v>#REF!</v>
      </c>
      <c r="CP165" s="7" t="e">
        <f>IF(#REF!="","",IF(AND($CE165&gt;0,#REF!="semillon B"),#REF!,0))</f>
        <v>#REF!</v>
      </c>
      <c r="CQ165" s="7" t="e">
        <f>IF(#REF!="","",IF(CE165=0,CC165,0))</f>
        <v>#REF!</v>
      </c>
      <c r="CR165" s="17"/>
      <c r="DE165"/>
    </row>
    <row r="166" spans="81:109" x14ac:dyDescent="0.25">
      <c r="CC166" s="7" t="e">
        <f>IF(#REF!="","",IF(#REF!="PF",#REF!,0))</f>
        <v>#REF!</v>
      </c>
      <c r="CD166" s="7" t="e">
        <f>IF(#REF!="","",IF(#REF!="PF",IF((#REF!+4)&lt;YEAR(#REF!),0,#REF!),0))</f>
        <v>#REF!</v>
      </c>
      <c r="CE166" s="7" t="e">
        <f>IF(#REF!="","",IF(AND(CD166&gt;0,#REF!&lt;&gt;""),CC166,0))</f>
        <v>#REF!</v>
      </c>
      <c r="CF166" s="7" t="e">
        <f>IF(#REF!="","",IF(AND($CE166&gt;0,#REF!= "GRENACHE N"),#REF!,0))</f>
        <v>#REF!</v>
      </c>
      <c r="CG166" s="7" t="e">
        <f>IF(#REF!="","",IF(AND($CE166&gt;0,#REF!="SYRAH N"),#REF!,0))</f>
        <v>#REF!</v>
      </c>
      <c r="CH166" s="7" t="e">
        <f>IF(#REF!="","",IF(AND($CE166&gt;0,#REF!="CINSAUT N"),#REF!,0))</f>
        <v>#REF!</v>
      </c>
      <c r="CI166" s="7" t="e">
        <f>IF(#REF!="","",IF(AND($CE166&gt;0,#REF!="TIBOUREN N"),#REF!,0))</f>
        <v>#REF!</v>
      </c>
      <c r="CJ166" s="7" t="e">
        <f>IF(#REF!="","",IF(AND($CE166&gt;0,#REF!="MOURVEDRE N"),#REF!,0))</f>
        <v>#REF!</v>
      </c>
      <c r="CK166" s="7" t="e">
        <f>IF(#REF!="","",IF(AND($CE166&gt;0,#REF!="CARIGNAN N"),#REF!,0))</f>
        <v>#REF!</v>
      </c>
      <c r="CL166" s="7" t="e">
        <f>IF(#REF!="","",IF(AND($CE166&gt;0,#REF!="CABERNET SAUVIGNON N"),#REF!,0))</f>
        <v>#REF!</v>
      </c>
      <c r="CM166" s="7" t="e">
        <f>IF(#REF!="","",IF(AND($CE166&gt;0,#REF!="VERMENTINO B"),#REF!,0))</f>
        <v>#REF!</v>
      </c>
      <c r="CN166" s="7" t="e">
        <f>IF(#REF!="","",IF(AND($CE166&gt;0,#REF!="UGNI BLANC B"),#REF!,0))</f>
        <v>#REF!</v>
      </c>
      <c r="CO166" s="7" t="e">
        <f>IF(#REF!="","",IF(AND($CE166&gt;0,#REF!="CLAIRETTE B"),#REF!,0))</f>
        <v>#REF!</v>
      </c>
      <c r="CP166" s="7" t="e">
        <f>IF(#REF!="","",IF(AND($CE166&gt;0,#REF!="semillon B"),#REF!,0))</f>
        <v>#REF!</v>
      </c>
      <c r="CQ166" s="7" t="e">
        <f>IF(#REF!="","",IF(CE166=0,CC166,0))</f>
        <v>#REF!</v>
      </c>
      <c r="CR166" s="17"/>
      <c r="DE166"/>
    </row>
    <row r="167" spans="81:109" x14ac:dyDescent="0.25">
      <c r="CC167" s="7" t="e">
        <f>IF(#REF!="","",IF(#REF!="PF",#REF!,0))</f>
        <v>#REF!</v>
      </c>
      <c r="CD167" s="7" t="e">
        <f>IF(#REF!="","",IF(#REF!="PF",IF((#REF!+4)&lt;YEAR(#REF!),0,#REF!),0))</f>
        <v>#REF!</v>
      </c>
      <c r="CE167" s="7" t="e">
        <f>IF(#REF!="","",IF(AND(CD167&gt;0,#REF!&lt;&gt;""),CC167,0))</f>
        <v>#REF!</v>
      </c>
      <c r="CF167" s="7" t="e">
        <f>IF(#REF!="","",IF(AND($CE167&gt;0,#REF!= "GRENACHE N"),#REF!,0))</f>
        <v>#REF!</v>
      </c>
      <c r="CG167" s="7" t="e">
        <f>IF(#REF!="","",IF(AND($CE167&gt;0,#REF!="SYRAH N"),#REF!,0))</f>
        <v>#REF!</v>
      </c>
      <c r="CH167" s="7" t="e">
        <f>IF(#REF!="","",IF(AND($CE167&gt;0,#REF!="CINSAUT N"),#REF!,0))</f>
        <v>#REF!</v>
      </c>
      <c r="CI167" s="7" t="e">
        <f>IF(#REF!="","",IF(AND($CE167&gt;0,#REF!="TIBOUREN N"),#REF!,0))</f>
        <v>#REF!</v>
      </c>
      <c r="CJ167" s="7" t="e">
        <f>IF(#REF!="","",IF(AND($CE167&gt;0,#REF!="MOURVEDRE N"),#REF!,0))</f>
        <v>#REF!</v>
      </c>
      <c r="CK167" s="7" t="e">
        <f>IF(#REF!="","",IF(AND($CE167&gt;0,#REF!="CARIGNAN N"),#REF!,0))</f>
        <v>#REF!</v>
      </c>
      <c r="CL167" s="7" t="e">
        <f>IF(#REF!="","",IF(AND($CE167&gt;0,#REF!="CABERNET SAUVIGNON N"),#REF!,0))</f>
        <v>#REF!</v>
      </c>
      <c r="CM167" s="7" t="e">
        <f>IF(#REF!="","",IF(AND($CE167&gt;0,#REF!="VERMENTINO B"),#REF!,0))</f>
        <v>#REF!</v>
      </c>
      <c r="CN167" s="7" t="e">
        <f>IF(#REF!="","",IF(AND($CE167&gt;0,#REF!="UGNI BLANC B"),#REF!,0))</f>
        <v>#REF!</v>
      </c>
      <c r="CO167" s="7" t="e">
        <f>IF(#REF!="","",IF(AND($CE167&gt;0,#REF!="CLAIRETTE B"),#REF!,0))</f>
        <v>#REF!</v>
      </c>
      <c r="CP167" s="7" t="e">
        <f>IF(#REF!="","",IF(AND($CE167&gt;0,#REF!="semillon B"),#REF!,0))</f>
        <v>#REF!</v>
      </c>
      <c r="CQ167" s="7" t="e">
        <f>IF(#REF!="","",IF(CE167=0,CC167,0))</f>
        <v>#REF!</v>
      </c>
      <c r="CR167" s="17"/>
      <c r="DE167"/>
    </row>
    <row r="168" spans="81:109" x14ac:dyDescent="0.25">
      <c r="CC168" s="7" t="e">
        <f>IF(#REF!="","",IF(#REF!="PF",#REF!,0))</f>
        <v>#REF!</v>
      </c>
      <c r="CD168" s="7" t="e">
        <f>IF(#REF!="","",IF(#REF!="PF",IF((#REF!+4)&lt;YEAR(#REF!),0,#REF!),0))</f>
        <v>#REF!</v>
      </c>
      <c r="CE168" s="7" t="e">
        <f>IF(#REF!="","",IF(AND(CD168&gt;0,#REF!&lt;&gt;""),CC168,0))</f>
        <v>#REF!</v>
      </c>
      <c r="CF168" s="7" t="e">
        <f>IF(#REF!="","",IF(AND($CE168&gt;0,#REF!= "GRENACHE N"),#REF!,0))</f>
        <v>#REF!</v>
      </c>
      <c r="CG168" s="7" t="e">
        <f>IF(#REF!="","",IF(AND($CE168&gt;0,#REF!="SYRAH N"),#REF!,0))</f>
        <v>#REF!</v>
      </c>
      <c r="CH168" s="7" t="e">
        <f>IF(#REF!="","",IF(AND($CE168&gt;0,#REF!="CINSAUT N"),#REF!,0))</f>
        <v>#REF!</v>
      </c>
      <c r="CI168" s="7" t="e">
        <f>IF(#REF!="","",IF(AND($CE168&gt;0,#REF!="TIBOUREN N"),#REF!,0))</f>
        <v>#REF!</v>
      </c>
      <c r="CJ168" s="7" t="e">
        <f>IF(#REF!="","",IF(AND($CE168&gt;0,#REF!="MOURVEDRE N"),#REF!,0))</f>
        <v>#REF!</v>
      </c>
      <c r="CK168" s="7" t="e">
        <f>IF(#REF!="","",IF(AND($CE168&gt;0,#REF!="CARIGNAN N"),#REF!,0))</f>
        <v>#REF!</v>
      </c>
      <c r="CL168" s="7" t="e">
        <f>IF(#REF!="","",IF(AND($CE168&gt;0,#REF!="CABERNET SAUVIGNON N"),#REF!,0))</f>
        <v>#REF!</v>
      </c>
      <c r="CM168" s="7" t="e">
        <f>IF(#REF!="","",IF(AND($CE168&gt;0,#REF!="VERMENTINO B"),#REF!,0))</f>
        <v>#REF!</v>
      </c>
      <c r="CN168" s="7" t="e">
        <f>IF(#REF!="","",IF(AND($CE168&gt;0,#REF!="UGNI BLANC B"),#REF!,0))</f>
        <v>#REF!</v>
      </c>
      <c r="CO168" s="7" t="e">
        <f>IF(#REF!="","",IF(AND($CE168&gt;0,#REF!="CLAIRETTE B"),#REF!,0))</f>
        <v>#REF!</v>
      </c>
      <c r="CP168" s="7" t="e">
        <f>IF(#REF!="","",IF(AND($CE168&gt;0,#REF!="semillon B"),#REF!,0))</f>
        <v>#REF!</v>
      </c>
      <c r="CQ168" s="7" t="e">
        <f>IF(#REF!="","",IF(CE168=0,CC168,0))</f>
        <v>#REF!</v>
      </c>
      <c r="CR168" s="17"/>
      <c r="DE168"/>
    </row>
    <row r="169" spans="81:109" x14ac:dyDescent="0.25">
      <c r="CC169" s="7" t="e">
        <f>IF(#REF!="","",IF(#REF!="PF",#REF!,0))</f>
        <v>#REF!</v>
      </c>
      <c r="CD169" s="7" t="e">
        <f>IF(#REF!="","",IF(#REF!="PF",IF((#REF!+4)&lt;YEAR(#REF!),0,#REF!),0))</f>
        <v>#REF!</v>
      </c>
      <c r="CE169" s="7" t="e">
        <f>IF(#REF!="","",IF(AND(CD169&gt;0,#REF!&lt;&gt;""),CC169,0))</f>
        <v>#REF!</v>
      </c>
      <c r="CF169" s="7" t="e">
        <f>IF(#REF!="","",IF(AND($CE169&gt;0,#REF!= "GRENACHE N"),#REF!,0))</f>
        <v>#REF!</v>
      </c>
      <c r="CG169" s="7" t="e">
        <f>IF(#REF!="","",IF(AND($CE169&gt;0,#REF!="SYRAH N"),#REF!,0))</f>
        <v>#REF!</v>
      </c>
      <c r="CH169" s="7" t="e">
        <f>IF(#REF!="","",IF(AND($CE169&gt;0,#REF!="CINSAUT N"),#REF!,0))</f>
        <v>#REF!</v>
      </c>
      <c r="CI169" s="7" t="e">
        <f>IF(#REF!="","",IF(AND($CE169&gt;0,#REF!="TIBOUREN N"),#REF!,0))</f>
        <v>#REF!</v>
      </c>
      <c r="CJ169" s="7" t="e">
        <f>IF(#REF!="","",IF(AND($CE169&gt;0,#REF!="MOURVEDRE N"),#REF!,0))</f>
        <v>#REF!</v>
      </c>
      <c r="CK169" s="7" t="e">
        <f>IF(#REF!="","",IF(AND($CE169&gt;0,#REF!="CARIGNAN N"),#REF!,0))</f>
        <v>#REF!</v>
      </c>
      <c r="CL169" s="7" t="e">
        <f>IF(#REF!="","",IF(AND($CE169&gt;0,#REF!="CABERNET SAUVIGNON N"),#REF!,0))</f>
        <v>#REF!</v>
      </c>
      <c r="CM169" s="7" t="e">
        <f>IF(#REF!="","",IF(AND($CE169&gt;0,#REF!="VERMENTINO B"),#REF!,0))</f>
        <v>#REF!</v>
      </c>
      <c r="CN169" s="7" t="e">
        <f>IF(#REF!="","",IF(AND($CE169&gt;0,#REF!="UGNI BLANC B"),#REF!,0))</f>
        <v>#REF!</v>
      </c>
      <c r="CO169" s="7" t="e">
        <f>IF(#REF!="","",IF(AND($CE169&gt;0,#REF!="CLAIRETTE B"),#REF!,0))</f>
        <v>#REF!</v>
      </c>
      <c r="CP169" s="7" t="e">
        <f>IF(#REF!="","",IF(AND($CE169&gt;0,#REF!="semillon B"),#REF!,0))</f>
        <v>#REF!</v>
      </c>
      <c r="CQ169" s="7" t="e">
        <f>IF(#REF!="","",IF(CE169=0,CC169,0))</f>
        <v>#REF!</v>
      </c>
      <c r="CR169" s="17"/>
      <c r="DE169"/>
    </row>
    <row r="170" spans="81:109" x14ac:dyDescent="0.25">
      <c r="CC170" s="7" t="e">
        <f>IF(#REF!="","",IF(#REF!="PF",#REF!,0))</f>
        <v>#REF!</v>
      </c>
      <c r="CD170" s="7" t="e">
        <f>IF(#REF!="","",IF(#REF!="PF",IF((#REF!+4)&lt;YEAR(#REF!),0,#REF!),0))</f>
        <v>#REF!</v>
      </c>
      <c r="CE170" s="7" t="e">
        <f>IF(#REF!="","",IF(AND(CD170&gt;0,#REF!&lt;&gt;""),CC170,0))</f>
        <v>#REF!</v>
      </c>
      <c r="CF170" s="7" t="e">
        <f>IF(#REF!="","",IF(AND($CE170&gt;0,#REF!= "GRENACHE N"),#REF!,0))</f>
        <v>#REF!</v>
      </c>
      <c r="CG170" s="7" t="e">
        <f>IF(#REF!="","",IF(AND($CE170&gt;0,#REF!="SYRAH N"),#REF!,0))</f>
        <v>#REF!</v>
      </c>
      <c r="CH170" s="7" t="e">
        <f>IF(#REF!="","",IF(AND($CE170&gt;0,#REF!="CINSAUT N"),#REF!,0))</f>
        <v>#REF!</v>
      </c>
      <c r="CI170" s="7" t="e">
        <f>IF(#REF!="","",IF(AND($CE170&gt;0,#REF!="TIBOUREN N"),#REF!,0))</f>
        <v>#REF!</v>
      </c>
      <c r="CJ170" s="7" t="e">
        <f>IF(#REF!="","",IF(AND($CE170&gt;0,#REF!="MOURVEDRE N"),#REF!,0))</f>
        <v>#REF!</v>
      </c>
      <c r="CK170" s="7" t="e">
        <f>IF(#REF!="","",IF(AND($CE170&gt;0,#REF!="CARIGNAN N"),#REF!,0))</f>
        <v>#REF!</v>
      </c>
      <c r="CL170" s="7" t="e">
        <f>IF(#REF!="","",IF(AND($CE170&gt;0,#REF!="CABERNET SAUVIGNON N"),#REF!,0))</f>
        <v>#REF!</v>
      </c>
      <c r="CM170" s="7" t="e">
        <f>IF(#REF!="","",IF(AND($CE170&gt;0,#REF!="VERMENTINO B"),#REF!,0))</f>
        <v>#REF!</v>
      </c>
      <c r="CN170" s="7" t="e">
        <f>IF(#REF!="","",IF(AND($CE170&gt;0,#REF!="UGNI BLANC B"),#REF!,0))</f>
        <v>#REF!</v>
      </c>
      <c r="CO170" s="7" t="e">
        <f>IF(#REF!="","",IF(AND($CE170&gt;0,#REF!="CLAIRETTE B"),#REF!,0))</f>
        <v>#REF!</v>
      </c>
      <c r="CP170" s="7" t="e">
        <f>IF(#REF!="","",IF(AND($CE170&gt;0,#REF!="semillon B"),#REF!,0))</f>
        <v>#REF!</v>
      </c>
      <c r="CQ170" s="7" t="e">
        <f>IF(#REF!="","",IF(CE170=0,CC170,0))</f>
        <v>#REF!</v>
      </c>
      <c r="CR170" s="17"/>
      <c r="DE170"/>
    </row>
    <row r="171" spans="81:109" x14ac:dyDescent="0.25">
      <c r="CC171" s="7" t="e">
        <f>IF(#REF!="","",IF(#REF!="PF",#REF!,0))</f>
        <v>#REF!</v>
      </c>
      <c r="CD171" s="7" t="e">
        <f>IF(#REF!="","",IF(#REF!="PF",IF((#REF!+4)&lt;YEAR(#REF!),0,#REF!),0))</f>
        <v>#REF!</v>
      </c>
      <c r="CE171" s="7" t="e">
        <f>IF(#REF!="","",IF(AND(CD171&gt;0,#REF!&lt;&gt;""),CC171,0))</f>
        <v>#REF!</v>
      </c>
      <c r="CF171" s="7" t="e">
        <f>IF(#REF!="","",IF(AND($CE171&gt;0,#REF!= "GRENACHE N"),#REF!,0))</f>
        <v>#REF!</v>
      </c>
      <c r="CG171" s="7" t="e">
        <f>IF(#REF!="","",IF(AND($CE171&gt;0,#REF!="SYRAH N"),#REF!,0))</f>
        <v>#REF!</v>
      </c>
      <c r="CH171" s="7" t="e">
        <f>IF(#REF!="","",IF(AND($CE171&gt;0,#REF!="CINSAUT N"),#REF!,0))</f>
        <v>#REF!</v>
      </c>
      <c r="CI171" s="7" t="e">
        <f>IF(#REF!="","",IF(AND($CE171&gt;0,#REF!="TIBOUREN N"),#REF!,0))</f>
        <v>#REF!</v>
      </c>
      <c r="CJ171" s="7" t="e">
        <f>IF(#REF!="","",IF(AND($CE171&gt;0,#REF!="MOURVEDRE N"),#REF!,0))</f>
        <v>#REF!</v>
      </c>
      <c r="CK171" s="7" t="e">
        <f>IF(#REF!="","",IF(AND($CE171&gt;0,#REF!="CARIGNAN N"),#REF!,0))</f>
        <v>#REF!</v>
      </c>
      <c r="CL171" s="7" t="e">
        <f>IF(#REF!="","",IF(AND($CE171&gt;0,#REF!="CABERNET SAUVIGNON N"),#REF!,0))</f>
        <v>#REF!</v>
      </c>
      <c r="CM171" s="7" t="e">
        <f>IF(#REF!="","",IF(AND($CE171&gt;0,#REF!="VERMENTINO B"),#REF!,0))</f>
        <v>#REF!</v>
      </c>
      <c r="CN171" s="7" t="e">
        <f>IF(#REF!="","",IF(AND($CE171&gt;0,#REF!="UGNI BLANC B"),#REF!,0))</f>
        <v>#REF!</v>
      </c>
      <c r="CO171" s="7" t="e">
        <f>IF(#REF!="","",IF(AND($CE171&gt;0,#REF!="CLAIRETTE B"),#REF!,0))</f>
        <v>#REF!</v>
      </c>
      <c r="CP171" s="7" t="e">
        <f>IF(#REF!="","",IF(AND($CE171&gt;0,#REF!="semillon B"),#REF!,0))</f>
        <v>#REF!</v>
      </c>
      <c r="CQ171" s="7" t="e">
        <f>IF(#REF!="","",IF(CE171=0,CC171,0))</f>
        <v>#REF!</v>
      </c>
      <c r="CR171" s="17"/>
      <c r="DE171"/>
    </row>
    <row r="172" spans="81:109" x14ac:dyDescent="0.25">
      <c r="CC172" s="7" t="e">
        <f>IF(#REF!="","",IF(#REF!="PF",#REF!,0))</f>
        <v>#REF!</v>
      </c>
      <c r="CD172" s="7" t="e">
        <f>IF(#REF!="","",IF(#REF!="PF",IF((#REF!+4)&lt;YEAR(#REF!),0,#REF!),0))</f>
        <v>#REF!</v>
      </c>
      <c r="CE172" s="7" t="e">
        <f>IF(#REF!="","",IF(AND(CD172&gt;0,#REF!&lt;&gt;""),CC172,0))</f>
        <v>#REF!</v>
      </c>
      <c r="CF172" s="7" t="e">
        <f>IF(#REF!="","",IF(AND($CE172&gt;0,#REF!= "GRENACHE N"),#REF!,0))</f>
        <v>#REF!</v>
      </c>
      <c r="CG172" s="7" t="e">
        <f>IF(#REF!="","",IF(AND($CE172&gt;0,#REF!="SYRAH N"),#REF!,0))</f>
        <v>#REF!</v>
      </c>
      <c r="CH172" s="7" t="e">
        <f>IF(#REF!="","",IF(AND($CE172&gt;0,#REF!="CINSAUT N"),#REF!,0))</f>
        <v>#REF!</v>
      </c>
      <c r="CI172" s="7" t="e">
        <f>IF(#REF!="","",IF(AND($CE172&gt;0,#REF!="TIBOUREN N"),#REF!,0))</f>
        <v>#REF!</v>
      </c>
      <c r="CJ172" s="7" t="e">
        <f>IF(#REF!="","",IF(AND($CE172&gt;0,#REF!="MOURVEDRE N"),#REF!,0))</f>
        <v>#REF!</v>
      </c>
      <c r="CK172" s="7" t="e">
        <f>IF(#REF!="","",IF(AND($CE172&gt;0,#REF!="CARIGNAN N"),#REF!,0))</f>
        <v>#REF!</v>
      </c>
      <c r="CL172" s="7" t="e">
        <f>IF(#REF!="","",IF(AND($CE172&gt;0,#REF!="CABERNET SAUVIGNON N"),#REF!,0))</f>
        <v>#REF!</v>
      </c>
      <c r="CM172" s="7" t="e">
        <f>IF(#REF!="","",IF(AND($CE172&gt;0,#REF!="VERMENTINO B"),#REF!,0))</f>
        <v>#REF!</v>
      </c>
      <c r="CN172" s="7" t="e">
        <f>IF(#REF!="","",IF(AND($CE172&gt;0,#REF!="UGNI BLANC B"),#REF!,0))</f>
        <v>#REF!</v>
      </c>
      <c r="CO172" s="7" t="e">
        <f>IF(#REF!="","",IF(AND($CE172&gt;0,#REF!="CLAIRETTE B"),#REF!,0))</f>
        <v>#REF!</v>
      </c>
      <c r="CP172" s="7" t="e">
        <f>IF(#REF!="","",IF(AND($CE172&gt;0,#REF!="semillon B"),#REF!,0))</f>
        <v>#REF!</v>
      </c>
      <c r="CQ172" s="7" t="e">
        <f>IF(#REF!="","",IF(CE172=0,CC172,0))</f>
        <v>#REF!</v>
      </c>
      <c r="CR172" s="17"/>
      <c r="DE172"/>
    </row>
    <row r="173" spans="81:109" x14ac:dyDescent="0.25">
      <c r="CC173" s="7" t="e">
        <f>IF(#REF!="","",IF(#REF!="PF",#REF!,0))</f>
        <v>#REF!</v>
      </c>
      <c r="CD173" s="7" t="e">
        <f>IF(#REF!="","",IF(#REF!="PF",IF((#REF!+4)&lt;YEAR(#REF!),0,#REF!),0))</f>
        <v>#REF!</v>
      </c>
      <c r="CE173" s="7" t="e">
        <f>IF(#REF!="","",IF(AND(CD173&gt;0,#REF!&lt;&gt;""),CC173,0))</f>
        <v>#REF!</v>
      </c>
      <c r="CF173" s="7" t="e">
        <f>IF(#REF!="","",IF(AND($CE173&gt;0,#REF!= "GRENACHE N"),#REF!,0))</f>
        <v>#REF!</v>
      </c>
      <c r="CG173" s="7" t="e">
        <f>IF(#REF!="","",IF(AND($CE173&gt;0,#REF!="SYRAH N"),#REF!,0))</f>
        <v>#REF!</v>
      </c>
      <c r="CH173" s="7" t="e">
        <f>IF(#REF!="","",IF(AND($CE173&gt;0,#REF!="CINSAUT N"),#REF!,0))</f>
        <v>#REF!</v>
      </c>
      <c r="CI173" s="7" t="e">
        <f>IF(#REF!="","",IF(AND($CE173&gt;0,#REF!="TIBOUREN N"),#REF!,0))</f>
        <v>#REF!</v>
      </c>
      <c r="CJ173" s="7" t="e">
        <f>IF(#REF!="","",IF(AND($CE173&gt;0,#REF!="MOURVEDRE N"),#REF!,0))</f>
        <v>#REF!</v>
      </c>
      <c r="CK173" s="7" t="e">
        <f>IF(#REF!="","",IF(AND($CE173&gt;0,#REF!="CARIGNAN N"),#REF!,0))</f>
        <v>#REF!</v>
      </c>
      <c r="CL173" s="7" t="e">
        <f>IF(#REF!="","",IF(AND($CE173&gt;0,#REF!="CABERNET SAUVIGNON N"),#REF!,0))</f>
        <v>#REF!</v>
      </c>
      <c r="CM173" s="7" t="e">
        <f>IF(#REF!="","",IF(AND($CE173&gt;0,#REF!="VERMENTINO B"),#REF!,0))</f>
        <v>#REF!</v>
      </c>
      <c r="CN173" s="7" t="e">
        <f>IF(#REF!="","",IF(AND($CE173&gt;0,#REF!="UGNI BLANC B"),#REF!,0))</f>
        <v>#REF!</v>
      </c>
      <c r="CO173" s="7" t="e">
        <f>IF(#REF!="","",IF(AND($CE173&gt;0,#REF!="CLAIRETTE B"),#REF!,0))</f>
        <v>#REF!</v>
      </c>
      <c r="CP173" s="7" t="e">
        <f>IF(#REF!="","",IF(AND($CE173&gt;0,#REF!="semillon B"),#REF!,0))</f>
        <v>#REF!</v>
      </c>
      <c r="CQ173" s="7" t="e">
        <f>IF(#REF!="","",IF(CE173=0,CC173,0))</f>
        <v>#REF!</v>
      </c>
      <c r="CR173" s="17"/>
      <c r="DE173"/>
    </row>
    <row r="174" spans="81:109" x14ac:dyDescent="0.25">
      <c r="CC174" s="7" t="e">
        <f>IF(#REF!="","",IF(#REF!="PF",#REF!,0))</f>
        <v>#REF!</v>
      </c>
      <c r="CD174" s="7" t="e">
        <f>IF(#REF!="","",IF(#REF!="PF",IF((#REF!+4)&lt;YEAR(#REF!),0,#REF!),0))</f>
        <v>#REF!</v>
      </c>
      <c r="CE174" s="7" t="e">
        <f>IF(#REF!="","",IF(AND(CD174&gt;0,#REF!&lt;&gt;""),CC174,0))</f>
        <v>#REF!</v>
      </c>
      <c r="CF174" s="7" t="e">
        <f>IF(#REF!="","",IF(AND($CE174&gt;0,#REF!= "GRENACHE N"),#REF!,0))</f>
        <v>#REF!</v>
      </c>
      <c r="CG174" s="7" t="e">
        <f>IF(#REF!="","",IF(AND($CE174&gt;0,#REF!="SYRAH N"),#REF!,0))</f>
        <v>#REF!</v>
      </c>
      <c r="CH174" s="7" t="e">
        <f>IF(#REF!="","",IF(AND($CE174&gt;0,#REF!="CINSAUT N"),#REF!,0))</f>
        <v>#REF!</v>
      </c>
      <c r="CI174" s="7" t="e">
        <f>IF(#REF!="","",IF(AND($CE174&gt;0,#REF!="TIBOUREN N"),#REF!,0))</f>
        <v>#REF!</v>
      </c>
      <c r="CJ174" s="7" t="e">
        <f>IF(#REF!="","",IF(AND($CE174&gt;0,#REF!="MOURVEDRE N"),#REF!,0))</f>
        <v>#REF!</v>
      </c>
      <c r="CK174" s="7" t="e">
        <f>IF(#REF!="","",IF(AND($CE174&gt;0,#REF!="CARIGNAN N"),#REF!,0))</f>
        <v>#REF!</v>
      </c>
      <c r="CL174" s="7" t="e">
        <f>IF(#REF!="","",IF(AND($CE174&gt;0,#REF!="CABERNET SAUVIGNON N"),#REF!,0))</f>
        <v>#REF!</v>
      </c>
      <c r="CM174" s="7" t="e">
        <f>IF(#REF!="","",IF(AND($CE174&gt;0,#REF!="VERMENTINO B"),#REF!,0))</f>
        <v>#REF!</v>
      </c>
      <c r="CN174" s="7" t="e">
        <f>IF(#REF!="","",IF(AND($CE174&gt;0,#REF!="UGNI BLANC B"),#REF!,0))</f>
        <v>#REF!</v>
      </c>
      <c r="CO174" s="7" t="e">
        <f>IF(#REF!="","",IF(AND($CE174&gt;0,#REF!="CLAIRETTE B"),#REF!,0))</f>
        <v>#REF!</v>
      </c>
      <c r="CP174" s="7" t="e">
        <f>IF(#REF!="","",IF(AND($CE174&gt;0,#REF!="semillon B"),#REF!,0))</f>
        <v>#REF!</v>
      </c>
      <c r="CQ174" s="7" t="e">
        <f>IF(#REF!="","",IF(CE174=0,CC174,0))</f>
        <v>#REF!</v>
      </c>
      <c r="CR174" s="17"/>
      <c r="DE174"/>
    </row>
    <row r="175" spans="81:109" x14ac:dyDescent="0.25">
      <c r="CC175" s="7" t="e">
        <f>IF(#REF!="","",IF(#REF!="PF",#REF!,0))</f>
        <v>#REF!</v>
      </c>
      <c r="CD175" s="7" t="e">
        <f>IF(#REF!="","",IF(#REF!="PF",IF((#REF!+4)&lt;YEAR(#REF!),0,#REF!),0))</f>
        <v>#REF!</v>
      </c>
      <c r="CE175" s="7" t="e">
        <f>IF(#REF!="","",IF(AND(CD175&gt;0,#REF!&lt;&gt;""),CC175,0))</f>
        <v>#REF!</v>
      </c>
      <c r="CF175" s="7" t="e">
        <f>IF(#REF!="","",IF(AND($CE175&gt;0,#REF!= "GRENACHE N"),#REF!,0))</f>
        <v>#REF!</v>
      </c>
      <c r="CG175" s="7" t="e">
        <f>IF(#REF!="","",IF(AND($CE175&gt;0,#REF!="SYRAH N"),#REF!,0))</f>
        <v>#REF!</v>
      </c>
      <c r="CH175" s="7" t="e">
        <f>IF(#REF!="","",IF(AND($CE175&gt;0,#REF!="CINSAUT N"),#REF!,0))</f>
        <v>#REF!</v>
      </c>
      <c r="CI175" s="7" t="e">
        <f>IF(#REF!="","",IF(AND($CE175&gt;0,#REF!="TIBOUREN N"),#REF!,0))</f>
        <v>#REF!</v>
      </c>
      <c r="CJ175" s="7" t="e">
        <f>IF(#REF!="","",IF(AND($CE175&gt;0,#REF!="MOURVEDRE N"),#REF!,0))</f>
        <v>#REF!</v>
      </c>
      <c r="CK175" s="7" t="e">
        <f>IF(#REF!="","",IF(AND($CE175&gt;0,#REF!="CARIGNAN N"),#REF!,0))</f>
        <v>#REF!</v>
      </c>
      <c r="CL175" s="7" t="e">
        <f>IF(#REF!="","",IF(AND($CE175&gt;0,#REF!="CABERNET SAUVIGNON N"),#REF!,0))</f>
        <v>#REF!</v>
      </c>
      <c r="CM175" s="7" t="e">
        <f>IF(#REF!="","",IF(AND($CE175&gt;0,#REF!="VERMENTINO B"),#REF!,0))</f>
        <v>#REF!</v>
      </c>
      <c r="CN175" s="7" t="e">
        <f>IF(#REF!="","",IF(AND($CE175&gt;0,#REF!="UGNI BLANC B"),#REF!,0))</f>
        <v>#REF!</v>
      </c>
      <c r="CO175" s="7" t="e">
        <f>IF(#REF!="","",IF(AND($CE175&gt;0,#REF!="CLAIRETTE B"),#REF!,0))</f>
        <v>#REF!</v>
      </c>
      <c r="CP175" s="7" t="e">
        <f>IF(#REF!="","",IF(AND($CE175&gt;0,#REF!="semillon B"),#REF!,0))</f>
        <v>#REF!</v>
      </c>
      <c r="CQ175" s="7" t="e">
        <f>IF(#REF!="","",IF(CE175=0,CC175,0))</f>
        <v>#REF!</v>
      </c>
      <c r="CR175" s="17"/>
      <c r="DE175"/>
    </row>
    <row r="176" spans="81:109" x14ac:dyDescent="0.25">
      <c r="CC176" s="7" t="e">
        <f>IF(#REF!="","",IF(#REF!="PF",#REF!,0))</f>
        <v>#REF!</v>
      </c>
      <c r="CD176" s="7" t="e">
        <f>IF(#REF!="","",IF(#REF!="PF",IF((#REF!+4)&lt;YEAR(#REF!),0,#REF!),0))</f>
        <v>#REF!</v>
      </c>
      <c r="CE176" s="7" t="e">
        <f>IF(#REF!="","",IF(AND(CD176&gt;0,#REF!&lt;&gt;""),CC176,0))</f>
        <v>#REF!</v>
      </c>
      <c r="CF176" s="7" t="e">
        <f>IF(#REF!="","",IF(AND($CE176&gt;0,#REF!= "GRENACHE N"),#REF!,0))</f>
        <v>#REF!</v>
      </c>
      <c r="CG176" s="7" t="e">
        <f>IF(#REF!="","",IF(AND($CE176&gt;0,#REF!="SYRAH N"),#REF!,0))</f>
        <v>#REF!</v>
      </c>
      <c r="CH176" s="7" t="e">
        <f>IF(#REF!="","",IF(AND($CE176&gt;0,#REF!="CINSAUT N"),#REF!,0))</f>
        <v>#REF!</v>
      </c>
      <c r="CI176" s="7" t="e">
        <f>IF(#REF!="","",IF(AND($CE176&gt;0,#REF!="TIBOUREN N"),#REF!,0))</f>
        <v>#REF!</v>
      </c>
      <c r="CJ176" s="7" t="e">
        <f>IF(#REF!="","",IF(AND($CE176&gt;0,#REF!="MOURVEDRE N"),#REF!,0))</f>
        <v>#REF!</v>
      </c>
      <c r="CK176" s="7" t="e">
        <f>IF(#REF!="","",IF(AND($CE176&gt;0,#REF!="CARIGNAN N"),#REF!,0))</f>
        <v>#REF!</v>
      </c>
      <c r="CL176" s="7" t="e">
        <f>IF(#REF!="","",IF(AND($CE176&gt;0,#REF!="CABERNET SAUVIGNON N"),#REF!,0))</f>
        <v>#REF!</v>
      </c>
      <c r="CM176" s="7" t="e">
        <f>IF(#REF!="","",IF(AND($CE176&gt;0,#REF!="VERMENTINO B"),#REF!,0))</f>
        <v>#REF!</v>
      </c>
      <c r="CN176" s="7" t="e">
        <f>IF(#REF!="","",IF(AND($CE176&gt;0,#REF!="UGNI BLANC B"),#REF!,0))</f>
        <v>#REF!</v>
      </c>
      <c r="CO176" s="7" t="e">
        <f>IF(#REF!="","",IF(AND($CE176&gt;0,#REF!="CLAIRETTE B"),#REF!,0))</f>
        <v>#REF!</v>
      </c>
      <c r="CP176" s="7" t="e">
        <f>IF(#REF!="","",IF(AND($CE176&gt;0,#REF!="semillon B"),#REF!,0))</f>
        <v>#REF!</v>
      </c>
      <c r="CQ176" s="7" t="e">
        <f>IF(#REF!="","",IF(CE176=0,CC176,0))</f>
        <v>#REF!</v>
      </c>
      <c r="CR176" s="17"/>
      <c r="DE176"/>
    </row>
    <row r="177" spans="81:109" x14ac:dyDescent="0.25">
      <c r="CC177" s="7" t="e">
        <f>IF(#REF!="","",IF(#REF!="PF",#REF!,0))</f>
        <v>#REF!</v>
      </c>
      <c r="CD177" s="7" t="e">
        <f>IF(#REF!="","",IF(#REF!="PF",IF((#REF!+4)&lt;YEAR(#REF!),0,#REF!),0))</f>
        <v>#REF!</v>
      </c>
      <c r="CE177" s="7" t="e">
        <f>IF(#REF!="","",IF(AND(CD177&gt;0,#REF!&lt;&gt;""),CC177,0))</f>
        <v>#REF!</v>
      </c>
      <c r="CF177" s="7" t="e">
        <f>IF(#REF!="","",IF(AND($CE177&gt;0,#REF!= "GRENACHE N"),#REF!,0))</f>
        <v>#REF!</v>
      </c>
      <c r="CG177" s="7" t="e">
        <f>IF(#REF!="","",IF(AND($CE177&gt;0,#REF!="SYRAH N"),#REF!,0))</f>
        <v>#REF!</v>
      </c>
      <c r="CH177" s="7" t="e">
        <f>IF(#REF!="","",IF(AND($CE177&gt;0,#REF!="CINSAUT N"),#REF!,0))</f>
        <v>#REF!</v>
      </c>
      <c r="CI177" s="7" t="e">
        <f>IF(#REF!="","",IF(AND($CE177&gt;0,#REF!="TIBOUREN N"),#REF!,0))</f>
        <v>#REF!</v>
      </c>
      <c r="CJ177" s="7" t="e">
        <f>IF(#REF!="","",IF(AND($CE177&gt;0,#REF!="MOURVEDRE N"),#REF!,0))</f>
        <v>#REF!</v>
      </c>
      <c r="CK177" s="7" t="e">
        <f>IF(#REF!="","",IF(AND($CE177&gt;0,#REF!="CARIGNAN N"),#REF!,0))</f>
        <v>#REF!</v>
      </c>
      <c r="CL177" s="7" t="e">
        <f>IF(#REF!="","",IF(AND($CE177&gt;0,#REF!="CABERNET SAUVIGNON N"),#REF!,0))</f>
        <v>#REF!</v>
      </c>
      <c r="CM177" s="7" t="e">
        <f>IF(#REF!="","",IF(AND($CE177&gt;0,#REF!="VERMENTINO B"),#REF!,0))</f>
        <v>#REF!</v>
      </c>
      <c r="CN177" s="7" t="e">
        <f>IF(#REF!="","",IF(AND($CE177&gt;0,#REF!="UGNI BLANC B"),#REF!,0))</f>
        <v>#REF!</v>
      </c>
      <c r="CO177" s="7" t="e">
        <f>IF(#REF!="","",IF(AND($CE177&gt;0,#REF!="CLAIRETTE B"),#REF!,0))</f>
        <v>#REF!</v>
      </c>
      <c r="CP177" s="7" t="e">
        <f>IF(#REF!="","",IF(AND($CE177&gt;0,#REF!="semillon B"),#REF!,0))</f>
        <v>#REF!</v>
      </c>
      <c r="CQ177" s="7" t="e">
        <f>IF(#REF!="","",IF(CE177=0,CC177,0))</f>
        <v>#REF!</v>
      </c>
      <c r="CR177" s="17"/>
      <c r="DE177"/>
    </row>
    <row r="178" spans="81:109" x14ac:dyDescent="0.25">
      <c r="CC178" s="7" t="e">
        <f>IF(#REF!="","",IF(#REF!="PF",#REF!,0))</f>
        <v>#REF!</v>
      </c>
      <c r="CD178" s="7" t="e">
        <f>IF(#REF!="","",IF(#REF!="PF",IF((#REF!+4)&lt;YEAR(#REF!),0,#REF!),0))</f>
        <v>#REF!</v>
      </c>
      <c r="CE178" s="7" t="e">
        <f>IF(#REF!="","",IF(AND(CD178&gt;0,#REF!&lt;&gt;""),CC178,0))</f>
        <v>#REF!</v>
      </c>
      <c r="CF178" s="7" t="e">
        <f>IF(#REF!="","",IF(AND($CE178&gt;0,#REF!= "GRENACHE N"),#REF!,0))</f>
        <v>#REF!</v>
      </c>
      <c r="CG178" s="7" t="e">
        <f>IF(#REF!="","",IF(AND($CE178&gt;0,#REF!="SYRAH N"),#REF!,0))</f>
        <v>#REF!</v>
      </c>
      <c r="CH178" s="7" t="e">
        <f>IF(#REF!="","",IF(AND($CE178&gt;0,#REF!="CINSAUT N"),#REF!,0))</f>
        <v>#REF!</v>
      </c>
      <c r="CI178" s="7" t="e">
        <f>IF(#REF!="","",IF(AND($CE178&gt;0,#REF!="TIBOUREN N"),#REF!,0))</f>
        <v>#REF!</v>
      </c>
      <c r="CJ178" s="7" t="e">
        <f>IF(#REF!="","",IF(AND($CE178&gt;0,#REF!="MOURVEDRE N"),#REF!,0))</f>
        <v>#REF!</v>
      </c>
      <c r="CK178" s="7" t="e">
        <f>IF(#REF!="","",IF(AND($CE178&gt;0,#REF!="CARIGNAN N"),#REF!,0))</f>
        <v>#REF!</v>
      </c>
      <c r="CL178" s="7" t="e">
        <f>IF(#REF!="","",IF(AND($CE178&gt;0,#REF!="CABERNET SAUVIGNON N"),#REF!,0))</f>
        <v>#REF!</v>
      </c>
      <c r="CM178" s="7" t="e">
        <f>IF(#REF!="","",IF(AND($CE178&gt;0,#REF!="VERMENTINO B"),#REF!,0))</f>
        <v>#REF!</v>
      </c>
      <c r="CN178" s="7" t="e">
        <f>IF(#REF!="","",IF(AND($CE178&gt;0,#REF!="UGNI BLANC B"),#REF!,0))</f>
        <v>#REF!</v>
      </c>
      <c r="CO178" s="7" t="e">
        <f>IF(#REF!="","",IF(AND($CE178&gt;0,#REF!="CLAIRETTE B"),#REF!,0))</f>
        <v>#REF!</v>
      </c>
      <c r="CP178" s="7" t="e">
        <f>IF(#REF!="","",IF(AND($CE178&gt;0,#REF!="semillon B"),#REF!,0))</f>
        <v>#REF!</v>
      </c>
      <c r="CQ178" s="7" t="e">
        <f>IF(#REF!="","",IF(CE178=0,CC178,0))</f>
        <v>#REF!</v>
      </c>
      <c r="CR178" s="17"/>
      <c r="DE178"/>
    </row>
    <row r="179" spans="81:109" x14ac:dyDescent="0.25">
      <c r="CC179" s="7" t="e">
        <f>IF(#REF!="","",IF(#REF!="PF",#REF!,0))</f>
        <v>#REF!</v>
      </c>
      <c r="CD179" s="7" t="e">
        <f>IF(#REF!="","",IF(#REF!="PF",IF((#REF!+4)&lt;YEAR(#REF!),0,#REF!),0))</f>
        <v>#REF!</v>
      </c>
      <c r="CE179" s="7" t="e">
        <f>IF(#REF!="","",IF(AND(CD179&gt;0,#REF!&lt;&gt;""),CC179,0))</f>
        <v>#REF!</v>
      </c>
      <c r="CF179" s="7" t="e">
        <f>IF(#REF!="","",IF(AND($CE179&gt;0,#REF!= "GRENACHE N"),#REF!,0))</f>
        <v>#REF!</v>
      </c>
      <c r="CG179" s="7" t="e">
        <f>IF(#REF!="","",IF(AND($CE179&gt;0,#REF!="SYRAH N"),#REF!,0))</f>
        <v>#REF!</v>
      </c>
      <c r="CH179" s="7" t="e">
        <f>IF(#REF!="","",IF(AND($CE179&gt;0,#REF!="CINSAUT N"),#REF!,0))</f>
        <v>#REF!</v>
      </c>
      <c r="CI179" s="7" t="e">
        <f>IF(#REF!="","",IF(AND($CE179&gt;0,#REF!="TIBOUREN N"),#REF!,0))</f>
        <v>#REF!</v>
      </c>
      <c r="CJ179" s="7" t="e">
        <f>IF(#REF!="","",IF(AND($CE179&gt;0,#REF!="MOURVEDRE N"),#REF!,0))</f>
        <v>#REF!</v>
      </c>
      <c r="CK179" s="7" t="e">
        <f>IF(#REF!="","",IF(AND($CE179&gt;0,#REF!="CARIGNAN N"),#REF!,0))</f>
        <v>#REF!</v>
      </c>
      <c r="CL179" s="7" t="e">
        <f>IF(#REF!="","",IF(AND($CE179&gt;0,#REF!="CABERNET SAUVIGNON N"),#REF!,0))</f>
        <v>#REF!</v>
      </c>
      <c r="CM179" s="7" t="e">
        <f>IF(#REF!="","",IF(AND($CE179&gt;0,#REF!="VERMENTINO B"),#REF!,0))</f>
        <v>#REF!</v>
      </c>
      <c r="CN179" s="7" t="e">
        <f>IF(#REF!="","",IF(AND($CE179&gt;0,#REF!="UGNI BLANC B"),#REF!,0))</f>
        <v>#REF!</v>
      </c>
      <c r="CO179" s="7" t="e">
        <f>IF(#REF!="","",IF(AND($CE179&gt;0,#REF!="CLAIRETTE B"),#REF!,0))</f>
        <v>#REF!</v>
      </c>
      <c r="CP179" s="7" t="e">
        <f>IF(#REF!="","",IF(AND($CE179&gt;0,#REF!="semillon B"),#REF!,0))</f>
        <v>#REF!</v>
      </c>
      <c r="CQ179" s="7" t="e">
        <f>IF(#REF!="","",IF(CE179=0,CC179,0))</f>
        <v>#REF!</v>
      </c>
      <c r="CR179" s="17"/>
      <c r="DE179"/>
    </row>
    <row r="180" spans="81:109" x14ac:dyDescent="0.25">
      <c r="CC180" s="7" t="e">
        <f>IF(#REF!="","",IF(#REF!="PF",#REF!,0))</f>
        <v>#REF!</v>
      </c>
      <c r="CD180" s="7" t="e">
        <f>IF(#REF!="","",IF(#REF!="PF",IF((#REF!+4)&lt;YEAR(#REF!),0,#REF!),0))</f>
        <v>#REF!</v>
      </c>
      <c r="CE180" s="7" t="e">
        <f>IF(#REF!="","",IF(AND(CD180&gt;0,#REF!&lt;&gt;""),CC180,0))</f>
        <v>#REF!</v>
      </c>
      <c r="CF180" s="7" t="e">
        <f>IF(#REF!="","",IF(AND($CE180&gt;0,#REF!= "GRENACHE N"),#REF!,0))</f>
        <v>#REF!</v>
      </c>
      <c r="CG180" s="7" t="e">
        <f>IF(#REF!="","",IF(AND($CE180&gt;0,#REF!="SYRAH N"),#REF!,0))</f>
        <v>#REF!</v>
      </c>
      <c r="CH180" s="7" t="e">
        <f>IF(#REF!="","",IF(AND($CE180&gt;0,#REF!="CINSAUT N"),#REF!,0))</f>
        <v>#REF!</v>
      </c>
      <c r="CI180" s="7" t="e">
        <f>IF(#REF!="","",IF(AND($CE180&gt;0,#REF!="TIBOUREN N"),#REF!,0))</f>
        <v>#REF!</v>
      </c>
      <c r="CJ180" s="7" t="e">
        <f>IF(#REF!="","",IF(AND($CE180&gt;0,#REF!="MOURVEDRE N"),#REF!,0))</f>
        <v>#REF!</v>
      </c>
      <c r="CK180" s="7" t="e">
        <f>IF(#REF!="","",IF(AND($CE180&gt;0,#REF!="CARIGNAN N"),#REF!,0))</f>
        <v>#REF!</v>
      </c>
      <c r="CL180" s="7" t="e">
        <f>IF(#REF!="","",IF(AND($CE180&gt;0,#REF!="CABERNET SAUVIGNON N"),#REF!,0))</f>
        <v>#REF!</v>
      </c>
      <c r="CM180" s="7" t="e">
        <f>IF(#REF!="","",IF(AND($CE180&gt;0,#REF!="VERMENTINO B"),#REF!,0))</f>
        <v>#REF!</v>
      </c>
      <c r="CN180" s="7" t="e">
        <f>IF(#REF!="","",IF(AND($CE180&gt;0,#REF!="UGNI BLANC B"),#REF!,0))</f>
        <v>#REF!</v>
      </c>
      <c r="CO180" s="7" t="e">
        <f>IF(#REF!="","",IF(AND($CE180&gt;0,#REF!="CLAIRETTE B"),#REF!,0))</f>
        <v>#REF!</v>
      </c>
      <c r="CP180" s="7" t="e">
        <f>IF(#REF!="","",IF(AND($CE180&gt;0,#REF!="semillon B"),#REF!,0))</f>
        <v>#REF!</v>
      </c>
      <c r="CQ180" s="7" t="e">
        <f>IF(#REF!="","",IF(CE180=0,CC180,0))</f>
        <v>#REF!</v>
      </c>
      <c r="CR180" s="17"/>
      <c r="DE180"/>
    </row>
    <row r="181" spans="81:109" x14ac:dyDescent="0.25">
      <c r="CC181" s="7" t="e">
        <f>IF(#REF!="","",IF(#REF!="PF",#REF!,0))</f>
        <v>#REF!</v>
      </c>
      <c r="CD181" s="7" t="e">
        <f>IF(#REF!="","",IF(#REF!="PF",IF((#REF!+4)&lt;YEAR(#REF!),0,#REF!),0))</f>
        <v>#REF!</v>
      </c>
      <c r="CE181" s="7" t="e">
        <f>IF(#REF!="","",IF(AND(CD181&gt;0,#REF!&lt;&gt;""),CC181,0))</f>
        <v>#REF!</v>
      </c>
      <c r="CF181" s="7" t="e">
        <f>IF(#REF!="","",IF(AND($CE181&gt;0,#REF!= "GRENACHE N"),#REF!,0))</f>
        <v>#REF!</v>
      </c>
      <c r="CG181" s="7" t="e">
        <f>IF(#REF!="","",IF(AND($CE181&gt;0,#REF!="SYRAH N"),#REF!,0))</f>
        <v>#REF!</v>
      </c>
      <c r="CH181" s="7" t="e">
        <f>IF(#REF!="","",IF(AND($CE181&gt;0,#REF!="CINSAUT N"),#REF!,0))</f>
        <v>#REF!</v>
      </c>
      <c r="CI181" s="7" t="e">
        <f>IF(#REF!="","",IF(AND($CE181&gt;0,#REF!="TIBOUREN N"),#REF!,0))</f>
        <v>#REF!</v>
      </c>
      <c r="CJ181" s="7" t="e">
        <f>IF(#REF!="","",IF(AND($CE181&gt;0,#REF!="MOURVEDRE N"),#REF!,0))</f>
        <v>#REF!</v>
      </c>
      <c r="CK181" s="7" t="e">
        <f>IF(#REF!="","",IF(AND($CE181&gt;0,#REF!="CARIGNAN N"),#REF!,0))</f>
        <v>#REF!</v>
      </c>
      <c r="CL181" s="7" t="e">
        <f>IF(#REF!="","",IF(AND($CE181&gt;0,#REF!="CABERNET SAUVIGNON N"),#REF!,0))</f>
        <v>#REF!</v>
      </c>
      <c r="CM181" s="7" t="e">
        <f>IF(#REF!="","",IF(AND($CE181&gt;0,#REF!="VERMENTINO B"),#REF!,0))</f>
        <v>#REF!</v>
      </c>
      <c r="CN181" s="7" t="e">
        <f>IF(#REF!="","",IF(AND($CE181&gt;0,#REF!="UGNI BLANC B"),#REF!,0))</f>
        <v>#REF!</v>
      </c>
      <c r="CO181" s="7" t="e">
        <f>IF(#REF!="","",IF(AND($CE181&gt;0,#REF!="CLAIRETTE B"),#REF!,0))</f>
        <v>#REF!</v>
      </c>
      <c r="CP181" s="7" t="e">
        <f>IF(#REF!="","",IF(AND($CE181&gt;0,#REF!="semillon B"),#REF!,0))</f>
        <v>#REF!</v>
      </c>
      <c r="CQ181" s="7" t="e">
        <f>IF(#REF!="","",IF(CE181=0,CC181,0))</f>
        <v>#REF!</v>
      </c>
      <c r="CR181" s="17"/>
      <c r="DE181"/>
    </row>
    <row r="182" spans="81:109" x14ac:dyDescent="0.25">
      <c r="CC182" s="7" t="e">
        <f>IF(#REF!="","",IF(#REF!="PF",#REF!,0))</f>
        <v>#REF!</v>
      </c>
      <c r="CD182" s="7" t="e">
        <f>IF(#REF!="","",IF(#REF!="PF",IF((#REF!+4)&lt;YEAR(#REF!),0,#REF!),0))</f>
        <v>#REF!</v>
      </c>
      <c r="CE182" s="7" t="e">
        <f>IF(#REF!="","",IF(AND(CD182&gt;0,#REF!&lt;&gt;""),CC182,0))</f>
        <v>#REF!</v>
      </c>
      <c r="CF182" s="7" t="e">
        <f>IF(#REF!="","",IF(AND($CE182&gt;0,#REF!= "GRENACHE N"),#REF!,0))</f>
        <v>#REF!</v>
      </c>
      <c r="CG182" s="7" t="e">
        <f>IF(#REF!="","",IF(AND($CE182&gt;0,#REF!="SYRAH N"),#REF!,0))</f>
        <v>#REF!</v>
      </c>
      <c r="CH182" s="7" t="e">
        <f>IF(#REF!="","",IF(AND($CE182&gt;0,#REF!="CINSAUT N"),#REF!,0))</f>
        <v>#REF!</v>
      </c>
      <c r="CI182" s="7" t="e">
        <f>IF(#REF!="","",IF(AND($CE182&gt;0,#REF!="TIBOUREN N"),#REF!,0))</f>
        <v>#REF!</v>
      </c>
      <c r="CJ182" s="7" t="e">
        <f>IF(#REF!="","",IF(AND($CE182&gt;0,#REF!="MOURVEDRE N"),#REF!,0))</f>
        <v>#REF!</v>
      </c>
      <c r="CK182" s="7" t="e">
        <f>IF(#REF!="","",IF(AND($CE182&gt;0,#REF!="CARIGNAN N"),#REF!,0))</f>
        <v>#REF!</v>
      </c>
      <c r="CL182" s="7" t="e">
        <f>IF(#REF!="","",IF(AND($CE182&gt;0,#REF!="CABERNET SAUVIGNON N"),#REF!,0))</f>
        <v>#REF!</v>
      </c>
      <c r="CM182" s="7" t="e">
        <f>IF(#REF!="","",IF(AND($CE182&gt;0,#REF!="VERMENTINO B"),#REF!,0))</f>
        <v>#REF!</v>
      </c>
      <c r="CN182" s="7" t="e">
        <f>IF(#REF!="","",IF(AND($CE182&gt;0,#REF!="UGNI BLANC B"),#REF!,0))</f>
        <v>#REF!</v>
      </c>
      <c r="CO182" s="7" t="e">
        <f>IF(#REF!="","",IF(AND($CE182&gt;0,#REF!="CLAIRETTE B"),#REF!,0))</f>
        <v>#REF!</v>
      </c>
      <c r="CP182" s="7" t="e">
        <f>IF(#REF!="","",IF(AND($CE182&gt;0,#REF!="semillon B"),#REF!,0))</f>
        <v>#REF!</v>
      </c>
      <c r="CQ182" s="7" t="e">
        <f>IF(#REF!="","",IF(CE182=0,CC182,0))</f>
        <v>#REF!</v>
      </c>
      <c r="CR182" s="17"/>
      <c r="DE182"/>
    </row>
    <row r="183" spans="81:109" x14ac:dyDescent="0.25">
      <c r="CC183" s="7" t="e">
        <f>IF(#REF!="","",IF(#REF!="PF",#REF!,0))</f>
        <v>#REF!</v>
      </c>
      <c r="CD183" s="7" t="e">
        <f>IF(#REF!="","",IF(#REF!="PF",IF((#REF!+4)&lt;YEAR(#REF!),0,#REF!),0))</f>
        <v>#REF!</v>
      </c>
      <c r="CE183" s="7" t="e">
        <f>IF(#REF!="","",IF(AND(CD183&gt;0,#REF!&lt;&gt;""),CC183,0))</f>
        <v>#REF!</v>
      </c>
      <c r="CF183" s="7" t="e">
        <f>IF(#REF!="","",IF(AND($CE183&gt;0,#REF!= "GRENACHE N"),#REF!,0))</f>
        <v>#REF!</v>
      </c>
      <c r="CG183" s="7" t="e">
        <f>IF(#REF!="","",IF(AND($CE183&gt;0,#REF!="SYRAH N"),#REF!,0))</f>
        <v>#REF!</v>
      </c>
      <c r="CH183" s="7" t="e">
        <f>IF(#REF!="","",IF(AND($CE183&gt;0,#REF!="CINSAUT N"),#REF!,0))</f>
        <v>#REF!</v>
      </c>
      <c r="CI183" s="7" t="e">
        <f>IF(#REF!="","",IF(AND($CE183&gt;0,#REF!="TIBOUREN N"),#REF!,0))</f>
        <v>#REF!</v>
      </c>
      <c r="CJ183" s="7" t="e">
        <f>IF(#REF!="","",IF(AND($CE183&gt;0,#REF!="MOURVEDRE N"),#REF!,0))</f>
        <v>#REF!</v>
      </c>
      <c r="CK183" s="7" t="e">
        <f>IF(#REF!="","",IF(AND($CE183&gt;0,#REF!="CARIGNAN N"),#REF!,0))</f>
        <v>#REF!</v>
      </c>
      <c r="CL183" s="7" t="e">
        <f>IF(#REF!="","",IF(AND($CE183&gt;0,#REF!="CABERNET SAUVIGNON N"),#REF!,0))</f>
        <v>#REF!</v>
      </c>
      <c r="CM183" s="7" t="e">
        <f>IF(#REF!="","",IF(AND($CE183&gt;0,#REF!="VERMENTINO B"),#REF!,0))</f>
        <v>#REF!</v>
      </c>
      <c r="CN183" s="7" t="e">
        <f>IF(#REF!="","",IF(AND($CE183&gt;0,#REF!="UGNI BLANC B"),#REF!,0))</f>
        <v>#REF!</v>
      </c>
      <c r="CO183" s="7" t="e">
        <f>IF(#REF!="","",IF(AND($CE183&gt;0,#REF!="CLAIRETTE B"),#REF!,0))</f>
        <v>#REF!</v>
      </c>
      <c r="CP183" s="7" t="e">
        <f>IF(#REF!="","",IF(AND($CE183&gt;0,#REF!="semillon B"),#REF!,0))</f>
        <v>#REF!</v>
      </c>
      <c r="CQ183" s="7" t="e">
        <f>IF(#REF!="","",IF(CE183=0,CC183,0))</f>
        <v>#REF!</v>
      </c>
      <c r="CR183" s="17"/>
      <c r="DE183"/>
    </row>
    <row r="184" spans="81:109" x14ac:dyDescent="0.25">
      <c r="CC184" s="7" t="e">
        <f>IF(#REF!="","",IF(#REF!="PF",#REF!,0))</f>
        <v>#REF!</v>
      </c>
      <c r="CD184" s="7" t="e">
        <f>IF(#REF!="","",IF(#REF!="PF",IF((#REF!+4)&lt;YEAR(#REF!),0,#REF!),0))</f>
        <v>#REF!</v>
      </c>
      <c r="CE184" s="7" t="e">
        <f>IF(#REF!="","",IF(AND(CD184&gt;0,#REF!&lt;&gt;""),CC184,0))</f>
        <v>#REF!</v>
      </c>
      <c r="CF184" s="7" t="e">
        <f>IF(#REF!="","",IF(AND($CE184&gt;0,#REF!= "GRENACHE N"),#REF!,0))</f>
        <v>#REF!</v>
      </c>
      <c r="CG184" s="7" t="e">
        <f>IF(#REF!="","",IF(AND($CE184&gt;0,#REF!="SYRAH N"),#REF!,0))</f>
        <v>#REF!</v>
      </c>
      <c r="CH184" s="7" t="e">
        <f>IF(#REF!="","",IF(AND($CE184&gt;0,#REF!="CINSAUT N"),#REF!,0))</f>
        <v>#REF!</v>
      </c>
      <c r="CI184" s="7" t="e">
        <f>IF(#REF!="","",IF(AND($CE184&gt;0,#REF!="TIBOUREN N"),#REF!,0))</f>
        <v>#REF!</v>
      </c>
      <c r="CJ184" s="7" t="e">
        <f>IF(#REF!="","",IF(AND($CE184&gt;0,#REF!="MOURVEDRE N"),#REF!,0))</f>
        <v>#REF!</v>
      </c>
      <c r="CK184" s="7" t="e">
        <f>IF(#REF!="","",IF(AND($CE184&gt;0,#REF!="CARIGNAN N"),#REF!,0))</f>
        <v>#REF!</v>
      </c>
      <c r="CL184" s="7" t="e">
        <f>IF(#REF!="","",IF(AND($CE184&gt;0,#REF!="CABERNET SAUVIGNON N"),#REF!,0))</f>
        <v>#REF!</v>
      </c>
      <c r="CM184" s="7" t="e">
        <f>IF(#REF!="","",IF(AND($CE184&gt;0,#REF!="VERMENTINO B"),#REF!,0))</f>
        <v>#REF!</v>
      </c>
      <c r="CN184" s="7" t="e">
        <f>IF(#REF!="","",IF(AND($CE184&gt;0,#REF!="UGNI BLANC B"),#REF!,0))</f>
        <v>#REF!</v>
      </c>
      <c r="CO184" s="7" t="e">
        <f>IF(#REF!="","",IF(AND($CE184&gt;0,#REF!="CLAIRETTE B"),#REF!,0))</f>
        <v>#REF!</v>
      </c>
      <c r="CP184" s="7" t="e">
        <f>IF(#REF!="","",IF(AND($CE184&gt;0,#REF!="semillon B"),#REF!,0))</f>
        <v>#REF!</v>
      </c>
      <c r="CQ184" s="7" t="e">
        <f>IF(#REF!="","",IF(CE184=0,CC184,0))</f>
        <v>#REF!</v>
      </c>
      <c r="CR184" s="17"/>
      <c r="DE184"/>
    </row>
    <row r="185" spans="81:109" x14ac:dyDescent="0.25">
      <c r="CC185" s="7" t="e">
        <f>IF(#REF!="","",IF(#REF!="PF",#REF!,0))</f>
        <v>#REF!</v>
      </c>
      <c r="CD185" s="7" t="e">
        <f>IF(#REF!="","",IF(#REF!="PF",IF((#REF!+4)&lt;YEAR(#REF!),0,#REF!),0))</f>
        <v>#REF!</v>
      </c>
      <c r="CE185" s="7" t="e">
        <f>IF(#REF!="","",IF(AND(CD185&gt;0,#REF!&lt;&gt;""),CC185,0))</f>
        <v>#REF!</v>
      </c>
      <c r="CF185" s="7" t="e">
        <f>IF(#REF!="","",IF(AND($CE185&gt;0,#REF!= "GRENACHE N"),#REF!,0))</f>
        <v>#REF!</v>
      </c>
      <c r="CG185" s="7" t="e">
        <f>IF(#REF!="","",IF(AND($CE185&gt;0,#REF!="SYRAH N"),#REF!,0))</f>
        <v>#REF!</v>
      </c>
      <c r="CH185" s="7" t="e">
        <f>IF(#REF!="","",IF(AND($CE185&gt;0,#REF!="CINSAUT N"),#REF!,0))</f>
        <v>#REF!</v>
      </c>
      <c r="CI185" s="7" t="e">
        <f>IF(#REF!="","",IF(AND($CE185&gt;0,#REF!="TIBOUREN N"),#REF!,0))</f>
        <v>#REF!</v>
      </c>
      <c r="CJ185" s="7" t="e">
        <f>IF(#REF!="","",IF(AND($CE185&gt;0,#REF!="MOURVEDRE N"),#REF!,0))</f>
        <v>#REF!</v>
      </c>
      <c r="CK185" s="7" t="e">
        <f>IF(#REF!="","",IF(AND($CE185&gt;0,#REF!="CARIGNAN N"),#REF!,0))</f>
        <v>#REF!</v>
      </c>
      <c r="CL185" s="7" t="e">
        <f>IF(#REF!="","",IF(AND($CE185&gt;0,#REF!="CABERNET SAUVIGNON N"),#REF!,0))</f>
        <v>#REF!</v>
      </c>
      <c r="CM185" s="7" t="e">
        <f>IF(#REF!="","",IF(AND($CE185&gt;0,#REF!="VERMENTINO B"),#REF!,0))</f>
        <v>#REF!</v>
      </c>
      <c r="CN185" s="7" t="e">
        <f>IF(#REF!="","",IF(AND($CE185&gt;0,#REF!="UGNI BLANC B"),#REF!,0))</f>
        <v>#REF!</v>
      </c>
      <c r="CO185" s="7" t="e">
        <f>IF(#REF!="","",IF(AND($CE185&gt;0,#REF!="CLAIRETTE B"),#REF!,0))</f>
        <v>#REF!</v>
      </c>
      <c r="CP185" s="7" t="e">
        <f>IF(#REF!="","",IF(AND($CE185&gt;0,#REF!="semillon B"),#REF!,0))</f>
        <v>#REF!</v>
      </c>
      <c r="CQ185" s="7" t="e">
        <f>IF(#REF!="","",IF(CE185=0,CC185,0))</f>
        <v>#REF!</v>
      </c>
      <c r="CR185" s="17"/>
      <c r="DE185"/>
    </row>
    <row r="186" spans="81:109" x14ac:dyDescent="0.25">
      <c r="CC186" s="7" t="e">
        <f>IF(#REF!="","",IF(#REF!="PF",#REF!,0))</f>
        <v>#REF!</v>
      </c>
      <c r="CD186" s="7" t="e">
        <f>IF(#REF!="","",IF(#REF!="PF",IF((#REF!+4)&lt;YEAR(#REF!),0,#REF!),0))</f>
        <v>#REF!</v>
      </c>
      <c r="CE186" s="7" t="e">
        <f>IF(#REF!="","",IF(AND(CD186&gt;0,#REF!&lt;&gt;""),CC186,0))</f>
        <v>#REF!</v>
      </c>
      <c r="CF186" s="7" t="e">
        <f>IF(#REF!="","",IF(AND($CE186&gt;0,#REF!= "GRENACHE N"),#REF!,0))</f>
        <v>#REF!</v>
      </c>
      <c r="CG186" s="7" t="e">
        <f>IF(#REF!="","",IF(AND($CE186&gt;0,#REF!="SYRAH N"),#REF!,0))</f>
        <v>#REF!</v>
      </c>
      <c r="CH186" s="7" t="e">
        <f>IF(#REF!="","",IF(AND($CE186&gt;0,#REF!="CINSAUT N"),#REF!,0))</f>
        <v>#REF!</v>
      </c>
      <c r="CI186" s="7" t="e">
        <f>IF(#REF!="","",IF(AND($CE186&gt;0,#REF!="TIBOUREN N"),#REF!,0))</f>
        <v>#REF!</v>
      </c>
      <c r="CJ186" s="7" t="e">
        <f>IF(#REF!="","",IF(AND($CE186&gt;0,#REF!="MOURVEDRE N"),#REF!,0))</f>
        <v>#REF!</v>
      </c>
      <c r="CK186" s="7" t="e">
        <f>IF(#REF!="","",IF(AND($CE186&gt;0,#REF!="CARIGNAN N"),#REF!,0))</f>
        <v>#REF!</v>
      </c>
      <c r="CL186" s="7" t="e">
        <f>IF(#REF!="","",IF(AND($CE186&gt;0,#REF!="CABERNET SAUVIGNON N"),#REF!,0))</f>
        <v>#REF!</v>
      </c>
      <c r="CM186" s="7" t="e">
        <f>IF(#REF!="","",IF(AND($CE186&gt;0,#REF!="VERMENTINO B"),#REF!,0))</f>
        <v>#REF!</v>
      </c>
      <c r="CN186" s="7" t="e">
        <f>IF(#REF!="","",IF(AND($CE186&gt;0,#REF!="UGNI BLANC B"),#REF!,0))</f>
        <v>#REF!</v>
      </c>
      <c r="CO186" s="7" t="e">
        <f>IF(#REF!="","",IF(AND($CE186&gt;0,#REF!="CLAIRETTE B"),#REF!,0))</f>
        <v>#REF!</v>
      </c>
      <c r="CP186" s="7" t="e">
        <f>IF(#REF!="","",IF(AND($CE186&gt;0,#REF!="semillon B"),#REF!,0))</f>
        <v>#REF!</v>
      </c>
      <c r="CQ186" s="7" t="e">
        <f>IF(#REF!="","",IF(CE186=0,CC186,0))</f>
        <v>#REF!</v>
      </c>
      <c r="CR186" s="17"/>
      <c r="DE186"/>
    </row>
    <row r="187" spans="81:109" x14ac:dyDescent="0.25">
      <c r="CC187" s="7" t="e">
        <f>IF(#REF!="","",IF(#REF!="PF",#REF!,0))</f>
        <v>#REF!</v>
      </c>
      <c r="CD187" s="7" t="e">
        <f>IF(#REF!="","",IF(#REF!="PF",IF((#REF!+4)&lt;YEAR(#REF!),0,#REF!),0))</f>
        <v>#REF!</v>
      </c>
      <c r="CE187" s="7" t="e">
        <f>IF(#REF!="","",IF(AND(CD187&gt;0,#REF!&lt;&gt;""),CC187,0))</f>
        <v>#REF!</v>
      </c>
      <c r="CF187" s="7" t="e">
        <f>IF(#REF!="","",IF(AND($CE187&gt;0,#REF!= "GRENACHE N"),#REF!,0))</f>
        <v>#REF!</v>
      </c>
      <c r="CG187" s="7" t="e">
        <f>IF(#REF!="","",IF(AND($CE187&gt;0,#REF!="SYRAH N"),#REF!,0))</f>
        <v>#REF!</v>
      </c>
      <c r="CH187" s="7" t="e">
        <f>IF(#REF!="","",IF(AND($CE187&gt;0,#REF!="CINSAUT N"),#REF!,0))</f>
        <v>#REF!</v>
      </c>
      <c r="CI187" s="7" t="e">
        <f>IF(#REF!="","",IF(AND($CE187&gt;0,#REF!="TIBOUREN N"),#REF!,0))</f>
        <v>#REF!</v>
      </c>
      <c r="CJ187" s="7" t="e">
        <f>IF(#REF!="","",IF(AND($CE187&gt;0,#REF!="MOURVEDRE N"),#REF!,0))</f>
        <v>#REF!</v>
      </c>
      <c r="CK187" s="7" t="e">
        <f>IF(#REF!="","",IF(AND($CE187&gt;0,#REF!="CARIGNAN N"),#REF!,0))</f>
        <v>#REF!</v>
      </c>
      <c r="CL187" s="7" t="e">
        <f>IF(#REF!="","",IF(AND($CE187&gt;0,#REF!="CABERNET SAUVIGNON N"),#REF!,0))</f>
        <v>#REF!</v>
      </c>
      <c r="CM187" s="7" t="e">
        <f>IF(#REF!="","",IF(AND($CE187&gt;0,#REF!="VERMENTINO B"),#REF!,0))</f>
        <v>#REF!</v>
      </c>
      <c r="CN187" s="7" t="e">
        <f>IF(#REF!="","",IF(AND($CE187&gt;0,#REF!="UGNI BLANC B"),#REF!,0))</f>
        <v>#REF!</v>
      </c>
      <c r="CO187" s="7" t="e">
        <f>IF(#REF!="","",IF(AND($CE187&gt;0,#REF!="CLAIRETTE B"),#REF!,0))</f>
        <v>#REF!</v>
      </c>
      <c r="CP187" s="7" t="e">
        <f>IF(#REF!="","",IF(AND($CE187&gt;0,#REF!="semillon B"),#REF!,0))</f>
        <v>#REF!</v>
      </c>
      <c r="CQ187" s="7" t="e">
        <f>IF(#REF!="","",IF(CE187=0,CC187,0))</f>
        <v>#REF!</v>
      </c>
      <c r="CR187" s="17"/>
      <c r="DE187"/>
    </row>
    <row r="188" spans="81:109" x14ac:dyDescent="0.25">
      <c r="CC188" s="7" t="e">
        <f>IF(#REF!="","",IF(#REF!="PF",#REF!,0))</f>
        <v>#REF!</v>
      </c>
      <c r="CD188" s="7" t="e">
        <f>IF(#REF!="","",IF(#REF!="PF",IF((#REF!+4)&lt;YEAR(#REF!),0,#REF!),0))</f>
        <v>#REF!</v>
      </c>
      <c r="CE188" s="7" t="e">
        <f>IF(#REF!="","",IF(AND(CD188&gt;0,#REF!&lt;&gt;""),CC188,0))</f>
        <v>#REF!</v>
      </c>
      <c r="CF188" s="7" t="e">
        <f>IF(#REF!="","",IF(AND($CE188&gt;0,#REF!= "GRENACHE N"),#REF!,0))</f>
        <v>#REF!</v>
      </c>
      <c r="CG188" s="7" t="e">
        <f>IF(#REF!="","",IF(AND($CE188&gt;0,#REF!="SYRAH N"),#REF!,0))</f>
        <v>#REF!</v>
      </c>
      <c r="CH188" s="7" t="e">
        <f>IF(#REF!="","",IF(AND($CE188&gt;0,#REF!="CINSAUT N"),#REF!,0))</f>
        <v>#REF!</v>
      </c>
      <c r="CI188" s="7" t="e">
        <f>IF(#REF!="","",IF(AND($CE188&gt;0,#REF!="TIBOUREN N"),#REF!,0))</f>
        <v>#REF!</v>
      </c>
      <c r="CJ188" s="7" t="e">
        <f>IF(#REF!="","",IF(AND($CE188&gt;0,#REF!="MOURVEDRE N"),#REF!,0))</f>
        <v>#REF!</v>
      </c>
      <c r="CK188" s="7" t="e">
        <f>IF(#REF!="","",IF(AND($CE188&gt;0,#REF!="CARIGNAN N"),#REF!,0))</f>
        <v>#REF!</v>
      </c>
      <c r="CL188" s="7" t="e">
        <f>IF(#REF!="","",IF(AND($CE188&gt;0,#REF!="CABERNET SAUVIGNON N"),#REF!,0))</f>
        <v>#REF!</v>
      </c>
      <c r="CM188" s="7" t="e">
        <f>IF(#REF!="","",IF(AND($CE188&gt;0,#REF!="VERMENTINO B"),#REF!,0))</f>
        <v>#REF!</v>
      </c>
      <c r="CN188" s="7" t="e">
        <f>IF(#REF!="","",IF(AND($CE188&gt;0,#REF!="UGNI BLANC B"),#REF!,0))</f>
        <v>#REF!</v>
      </c>
      <c r="CO188" s="7" t="e">
        <f>IF(#REF!="","",IF(AND($CE188&gt;0,#REF!="CLAIRETTE B"),#REF!,0))</f>
        <v>#REF!</v>
      </c>
      <c r="CP188" s="7" t="e">
        <f>IF(#REF!="","",IF(AND($CE188&gt;0,#REF!="semillon B"),#REF!,0))</f>
        <v>#REF!</v>
      </c>
      <c r="CQ188" s="7" t="e">
        <f>IF(#REF!="","",IF(CE188=0,CC188,0))</f>
        <v>#REF!</v>
      </c>
      <c r="CR188" s="17"/>
      <c r="DE188"/>
    </row>
    <row r="189" spans="81:109" x14ac:dyDescent="0.25">
      <c r="CC189" s="7" t="e">
        <f>IF(#REF!="","",IF(#REF!="PF",#REF!,0))</f>
        <v>#REF!</v>
      </c>
      <c r="CD189" s="7" t="e">
        <f>IF(#REF!="","",IF(#REF!="PF",IF((#REF!+4)&lt;YEAR(#REF!),0,#REF!),0))</f>
        <v>#REF!</v>
      </c>
      <c r="CE189" s="7" t="e">
        <f>IF(#REF!="","",IF(AND(CD189&gt;0,#REF!&lt;&gt;""),CC189,0))</f>
        <v>#REF!</v>
      </c>
      <c r="CF189" s="7" t="e">
        <f>IF(#REF!="","",IF(AND($CE189&gt;0,#REF!= "GRENACHE N"),#REF!,0))</f>
        <v>#REF!</v>
      </c>
      <c r="CG189" s="7" t="e">
        <f>IF(#REF!="","",IF(AND($CE189&gt;0,#REF!="SYRAH N"),#REF!,0))</f>
        <v>#REF!</v>
      </c>
      <c r="CH189" s="7" t="e">
        <f>IF(#REF!="","",IF(AND($CE189&gt;0,#REF!="CINSAUT N"),#REF!,0))</f>
        <v>#REF!</v>
      </c>
      <c r="CI189" s="7" t="e">
        <f>IF(#REF!="","",IF(AND($CE189&gt;0,#REF!="TIBOUREN N"),#REF!,0))</f>
        <v>#REF!</v>
      </c>
      <c r="CJ189" s="7" t="e">
        <f>IF(#REF!="","",IF(AND($CE189&gt;0,#REF!="MOURVEDRE N"),#REF!,0))</f>
        <v>#REF!</v>
      </c>
      <c r="CK189" s="7" t="e">
        <f>IF(#REF!="","",IF(AND($CE189&gt;0,#REF!="CARIGNAN N"),#REF!,0))</f>
        <v>#REF!</v>
      </c>
      <c r="CL189" s="7" t="e">
        <f>IF(#REF!="","",IF(AND($CE189&gt;0,#REF!="CABERNET SAUVIGNON N"),#REF!,0))</f>
        <v>#REF!</v>
      </c>
      <c r="CM189" s="7" t="e">
        <f>IF(#REF!="","",IF(AND($CE189&gt;0,#REF!="VERMENTINO B"),#REF!,0))</f>
        <v>#REF!</v>
      </c>
      <c r="CN189" s="7" t="e">
        <f>IF(#REF!="","",IF(AND($CE189&gt;0,#REF!="UGNI BLANC B"),#REF!,0))</f>
        <v>#REF!</v>
      </c>
      <c r="CO189" s="7" t="e">
        <f>IF(#REF!="","",IF(AND($CE189&gt;0,#REF!="CLAIRETTE B"),#REF!,0))</f>
        <v>#REF!</v>
      </c>
      <c r="CP189" s="7" t="e">
        <f>IF(#REF!="","",IF(AND($CE189&gt;0,#REF!="semillon B"),#REF!,0))</f>
        <v>#REF!</v>
      </c>
      <c r="CQ189" s="7" t="e">
        <f>IF(#REF!="","",IF(CE189=0,CC189,0))</f>
        <v>#REF!</v>
      </c>
      <c r="CR189" s="17"/>
      <c r="DE189"/>
    </row>
    <row r="190" spans="81:109" x14ac:dyDescent="0.25">
      <c r="CC190" s="7" t="e">
        <f>IF(#REF!="","",IF(#REF!="PF",#REF!,0))</f>
        <v>#REF!</v>
      </c>
      <c r="CD190" s="7" t="e">
        <f>IF(#REF!="","",IF(#REF!="PF",IF((#REF!+4)&lt;YEAR(#REF!),0,#REF!),0))</f>
        <v>#REF!</v>
      </c>
      <c r="CE190" s="7" t="e">
        <f>IF(#REF!="","",IF(AND(CD190&gt;0,#REF!&lt;&gt;""),CC190,0))</f>
        <v>#REF!</v>
      </c>
      <c r="CF190" s="7" t="e">
        <f>IF(#REF!="","",IF(AND($CE190&gt;0,#REF!= "GRENACHE N"),#REF!,0))</f>
        <v>#REF!</v>
      </c>
      <c r="CG190" s="7" t="e">
        <f>IF(#REF!="","",IF(AND($CE190&gt;0,#REF!="SYRAH N"),#REF!,0))</f>
        <v>#REF!</v>
      </c>
      <c r="CH190" s="7" t="e">
        <f>IF(#REF!="","",IF(AND($CE190&gt;0,#REF!="CINSAUT N"),#REF!,0))</f>
        <v>#REF!</v>
      </c>
      <c r="CI190" s="7" t="e">
        <f>IF(#REF!="","",IF(AND($CE190&gt;0,#REF!="TIBOUREN N"),#REF!,0))</f>
        <v>#REF!</v>
      </c>
      <c r="CJ190" s="7" t="e">
        <f>IF(#REF!="","",IF(AND($CE190&gt;0,#REF!="MOURVEDRE N"),#REF!,0))</f>
        <v>#REF!</v>
      </c>
      <c r="CK190" s="7" t="e">
        <f>IF(#REF!="","",IF(AND($CE190&gt;0,#REF!="CARIGNAN N"),#REF!,0))</f>
        <v>#REF!</v>
      </c>
      <c r="CL190" s="7" t="e">
        <f>IF(#REF!="","",IF(AND($CE190&gt;0,#REF!="CABERNET SAUVIGNON N"),#REF!,0))</f>
        <v>#REF!</v>
      </c>
      <c r="CM190" s="7" t="e">
        <f>IF(#REF!="","",IF(AND($CE190&gt;0,#REF!="VERMENTINO B"),#REF!,0))</f>
        <v>#REF!</v>
      </c>
      <c r="CN190" s="7" t="e">
        <f>IF(#REF!="","",IF(AND($CE190&gt;0,#REF!="UGNI BLANC B"),#REF!,0))</f>
        <v>#REF!</v>
      </c>
      <c r="CO190" s="7" t="e">
        <f>IF(#REF!="","",IF(AND($CE190&gt;0,#REF!="CLAIRETTE B"),#REF!,0))</f>
        <v>#REF!</v>
      </c>
      <c r="CP190" s="7" t="e">
        <f>IF(#REF!="","",IF(AND($CE190&gt;0,#REF!="semillon B"),#REF!,0))</f>
        <v>#REF!</v>
      </c>
      <c r="CQ190" s="7" t="e">
        <f>IF(#REF!="","",IF(CE190=0,CC190,0))</f>
        <v>#REF!</v>
      </c>
      <c r="CR190" s="17"/>
      <c r="DE190"/>
    </row>
    <row r="191" spans="81:109" x14ac:dyDescent="0.25">
      <c r="CC191" s="7" t="e">
        <f>IF(#REF!="","",IF(#REF!="PF",#REF!,0))</f>
        <v>#REF!</v>
      </c>
      <c r="CD191" s="7" t="e">
        <f>IF(#REF!="","",IF(#REF!="PF",IF((#REF!+4)&lt;YEAR(#REF!),0,#REF!),0))</f>
        <v>#REF!</v>
      </c>
      <c r="CE191" s="7" t="e">
        <f>IF(#REF!="","",IF(AND(CD191&gt;0,#REF!&lt;&gt;""),CC191,0))</f>
        <v>#REF!</v>
      </c>
      <c r="CF191" s="7" t="e">
        <f>IF(#REF!="","",IF(AND($CE191&gt;0,#REF!= "GRENACHE N"),#REF!,0))</f>
        <v>#REF!</v>
      </c>
      <c r="CG191" s="7" t="e">
        <f>IF(#REF!="","",IF(AND($CE191&gt;0,#REF!="SYRAH N"),#REF!,0))</f>
        <v>#REF!</v>
      </c>
      <c r="CH191" s="7" t="e">
        <f>IF(#REF!="","",IF(AND($CE191&gt;0,#REF!="CINSAUT N"),#REF!,0))</f>
        <v>#REF!</v>
      </c>
      <c r="CI191" s="7" t="e">
        <f>IF(#REF!="","",IF(AND($CE191&gt;0,#REF!="TIBOUREN N"),#REF!,0))</f>
        <v>#REF!</v>
      </c>
      <c r="CJ191" s="7" t="e">
        <f>IF(#REF!="","",IF(AND($CE191&gt;0,#REF!="MOURVEDRE N"),#REF!,0))</f>
        <v>#REF!</v>
      </c>
      <c r="CK191" s="7" t="e">
        <f>IF(#REF!="","",IF(AND($CE191&gt;0,#REF!="CARIGNAN N"),#REF!,0))</f>
        <v>#REF!</v>
      </c>
      <c r="CL191" s="7" t="e">
        <f>IF(#REF!="","",IF(AND($CE191&gt;0,#REF!="CABERNET SAUVIGNON N"),#REF!,0))</f>
        <v>#REF!</v>
      </c>
      <c r="CM191" s="7" t="e">
        <f>IF(#REF!="","",IF(AND($CE191&gt;0,#REF!="VERMENTINO B"),#REF!,0))</f>
        <v>#REF!</v>
      </c>
      <c r="CN191" s="7" t="e">
        <f>IF(#REF!="","",IF(AND($CE191&gt;0,#REF!="UGNI BLANC B"),#REF!,0))</f>
        <v>#REF!</v>
      </c>
      <c r="CO191" s="7" t="e">
        <f>IF(#REF!="","",IF(AND($CE191&gt;0,#REF!="CLAIRETTE B"),#REF!,0))</f>
        <v>#REF!</v>
      </c>
      <c r="CP191" s="7" t="e">
        <f>IF(#REF!="","",IF(AND($CE191&gt;0,#REF!="semillon B"),#REF!,0))</f>
        <v>#REF!</v>
      </c>
      <c r="CQ191" s="7" t="e">
        <f>IF(#REF!="","",IF(CE191=0,CC191,0))</f>
        <v>#REF!</v>
      </c>
      <c r="CR191" s="17"/>
      <c r="DE191"/>
    </row>
    <row r="192" spans="81:109" x14ac:dyDescent="0.25">
      <c r="CC192" s="7" t="e">
        <f>IF(#REF!="","",IF(#REF!="PF",#REF!,0))</f>
        <v>#REF!</v>
      </c>
      <c r="CD192" s="7" t="e">
        <f>IF(#REF!="","",IF(#REF!="PF",IF((#REF!+4)&lt;YEAR(#REF!),0,#REF!),0))</f>
        <v>#REF!</v>
      </c>
      <c r="CE192" s="7" t="e">
        <f>IF(#REF!="","",IF(AND(CD192&gt;0,#REF!&lt;&gt;""),CC192,0))</f>
        <v>#REF!</v>
      </c>
      <c r="CF192" s="7" t="e">
        <f>IF(#REF!="","",IF(AND($CE192&gt;0,#REF!= "GRENACHE N"),#REF!,0))</f>
        <v>#REF!</v>
      </c>
      <c r="CG192" s="7" t="e">
        <f>IF(#REF!="","",IF(AND($CE192&gt;0,#REF!="SYRAH N"),#REF!,0))</f>
        <v>#REF!</v>
      </c>
      <c r="CH192" s="7" t="e">
        <f>IF(#REF!="","",IF(AND($CE192&gt;0,#REF!="CINSAUT N"),#REF!,0))</f>
        <v>#REF!</v>
      </c>
      <c r="CI192" s="7" t="e">
        <f>IF(#REF!="","",IF(AND($CE192&gt;0,#REF!="TIBOUREN N"),#REF!,0))</f>
        <v>#REF!</v>
      </c>
      <c r="CJ192" s="7" t="e">
        <f>IF(#REF!="","",IF(AND($CE192&gt;0,#REF!="MOURVEDRE N"),#REF!,0))</f>
        <v>#REF!</v>
      </c>
      <c r="CK192" s="7" t="e">
        <f>IF(#REF!="","",IF(AND($CE192&gt;0,#REF!="CARIGNAN N"),#REF!,0))</f>
        <v>#REF!</v>
      </c>
      <c r="CL192" s="7" t="e">
        <f>IF(#REF!="","",IF(AND($CE192&gt;0,#REF!="CABERNET SAUVIGNON N"),#REF!,0))</f>
        <v>#REF!</v>
      </c>
      <c r="CM192" s="7" t="e">
        <f>IF(#REF!="","",IF(AND($CE192&gt;0,#REF!="VERMENTINO B"),#REF!,0))</f>
        <v>#REF!</v>
      </c>
      <c r="CN192" s="7" t="e">
        <f>IF(#REF!="","",IF(AND($CE192&gt;0,#REF!="UGNI BLANC B"),#REF!,0))</f>
        <v>#REF!</v>
      </c>
      <c r="CO192" s="7" t="e">
        <f>IF(#REF!="","",IF(AND($CE192&gt;0,#REF!="CLAIRETTE B"),#REF!,0))</f>
        <v>#REF!</v>
      </c>
      <c r="CP192" s="7" t="e">
        <f>IF(#REF!="","",IF(AND($CE192&gt;0,#REF!="semillon B"),#REF!,0))</f>
        <v>#REF!</v>
      </c>
      <c r="CQ192" s="7" t="e">
        <f>IF(#REF!="","",IF(CE192=0,CC192,0))</f>
        <v>#REF!</v>
      </c>
      <c r="CR192" s="17"/>
      <c r="DE192"/>
    </row>
    <row r="193" spans="81:109" x14ac:dyDescent="0.25">
      <c r="CC193" s="7" t="e">
        <f>IF(#REF!="","",IF(#REF!="PF",#REF!,0))</f>
        <v>#REF!</v>
      </c>
      <c r="CD193" s="7" t="e">
        <f>IF(#REF!="","",IF(#REF!="PF",IF((#REF!+4)&lt;YEAR(#REF!),0,#REF!),0))</f>
        <v>#REF!</v>
      </c>
      <c r="CE193" s="7" t="e">
        <f>IF(#REF!="","",IF(AND(CD193&gt;0,#REF!&lt;&gt;""),CC193,0))</f>
        <v>#REF!</v>
      </c>
      <c r="CF193" s="7" t="e">
        <f>IF(#REF!="","",IF(AND($CE193&gt;0,#REF!= "GRENACHE N"),#REF!,0))</f>
        <v>#REF!</v>
      </c>
      <c r="CG193" s="7" t="e">
        <f>IF(#REF!="","",IF(AND($CE193&gt;0,#REF!="SYRAH N"),#REF!,0))</f>
        <v>#REF!</v>
      </c>
      <c r="CH193" s="7" t="e">
        <f>IF(#REF!="","",IF(AND($CE193&gt;0,#REF!="CINSAUT N"),#REF!,0))</f>
        <v>#REF!</v>
      </c>
      <c r="CI193" s="7" t="e">
        <f>IF(#REF!="","",IF(AND($CE193&gt;0,#REF!="TIBOUREN N"),#REF!,0))</f>
        <v>#REF!</v>
      </c>
      <c r="CJ193" s="7" t="e">
        <f>IF(#REF!="","",IF(AND($CE193&gt;0,#REF!="MOURVEDRE N"),#REF!,0))</f>
        <v>#REF!</v>
      </c>
      <c r="CK193" s="7" t="e">
        <f>IF(#REF!="","",IF(AND($CE193&gt;0,#REF!="CARIGNAN N"),#REF!,0))</f>
        <v>#REF!</v>
      </c>
      <c r="CL193" s="7" t="e">
        <f>IF(#REF!="","",IF(AND($CE193&gt;0,#REF!="CABERNET SAUVIGNON N"),#REF!,0))</f>
        <v>#REF!</v>
      </c>
      <c r="CM193" s="7" t="e">
        <f>IF(#REF!="","",IF(AND($CE193&gt;0,#REF!="VERMENTINO B"),#REF!,0))</f>
        <v>#REF!</v>
      </c>
      <c r="CN193" s="7" t="e">
        <f>IF(#REF!="","",IF(AND($CE193&gt;0,#REF!="UGNI BLANC B"),#REF!,0))</f>
        <v>#REF!</v>
      </c>
      <c r="CO193" s="7" t="e">
        <f>IF(#REF!="","",IF(AND($CE193&gt;0,#REF!="CLAIRETTE B"),#REF!,0))</f>
        <v>#REF!</v>
      </c>
      <c r="CP193" s="7" t="e">
        <f>IF(#REF!="","",IF(AND($CE193&gt;0,#REF!="semillon B"),#REF!,0))</f>
        <v>#REF!</v>
      </c>
      <c r="CQ193" s="7" t="e">
        <f>IF(#REF!="","",IF(CE193=0,CC193,0))</f>
        <v>#REF!</v>
      </c>
      <c r="CR193" s="17"/>
      <c r="DE193"/>
    </row>
    <row r="194" spans="81:109" x14ac:dyDescent="0.25">
      <c r="CC194" s="7" t="e">
        <f>IF(#REF!="","",IF(#REF!="PF",#REF!,0))</f>
        <v>#REF!</v>
      </c>
      <c r="CD194" s="7" t="e">
        <f>IF(#REF!="","",IF(#REF!="PF",IF((#REF!+4)&lt;YEAR(#REF!),0,#REF!),0))</f>
        <v>#REF!</v>
      </c>
      <c r="CE194" s="7" t="e">
        <f>IF(#REF!="","",IF(AND(CD194&gt;0,#REF!&lt;&gt;""),CC194,0))</f>
        <v>#REF!</v>
      </c>
      <c r="CF194" s="7" t="e">
        <f>IF(#REF!="","",IF(AND($CE194&gt;0,#REF!= "GRENACHE N"),#REF!,0))</f>
        <v>#REF!</v>
      </c>
      <c r="CG194" s="7" t="e">
        <f>IF(#REF!="","",IF(AND($CE194&gt;0,#REF!="SYRAH N"),#REF!,0))</f>
        <v>#REF!</v>
      </c>
      <c r="CH194" s="7" t="e">
        <f>IF(#REF!="","",IF(AND($CE194&gt;0,#REF!="CINSAUT N"),#REF!,0))</f>
        <v>#REF!</v>
      </c>
      <c r="CI194" s="7" t="e">
        <f>IF(#REF!="","",IF(AND($CE194&gt;0,#REF!="TIBOUREN N"),#REF!,0))</f>
        <v>#REF!</v>
      </c>
      <c r="CJ194" s="7" t="e">
        <f>IF(#REF!="","",IF(AND($CE194&gt;0,#REF!="MOURVEDRE N"),#REF!,0))</f>
        <v>#REF!</v>
      </c>
      <c r="CK194" s="7" t="e">
        <f>IF(#REF!="","",IF(AND($CE194&gt;0,#REF!="CARIGNAN N"),#REF!,0))</f>
        <v>#REF!</v>
      </c>
      <c r="CL194" s="7" t="e">
        <f>IF(#REF!="","",IF(AND($CE194&gt;0,#REF!="CABERNET SAUVIGNON N"),#REF!,0))</f>
        <v>#REF!</v>
      </c>
      <c r="CM194" s="7" t="e">
        <f>IF(#REF!="","",IF(AND($CE194&gt;0,#REF!="VERMENTINO B"),#REF!,0))</f>
        <v>#REF!</v>
      </c>
      <c r="CN194" s="7" t="e">
        <f>IF(#REF!="","",IF(AND($CE194&gt;0,#REF!="UGNI BLANC B"),#REF!,0))</f>
        <v>#REF!</v>
      </c>
      <c r="CO194" s="7" t="e">
        <f>IF(#REF!="","",IF(AND($CE194&gt;0,#REF!="CLAIRETTE B"),#REF!,0))</f>
        <v>#REF!</v>
      </c>
      <c r="CP194" s="7" t="e">
        <f>IF(#REF!="","",IF(AND($CE194&gt;0,#REF!="semillon B"),#REF!,0))</f>
        <v>#REF!</v>
      </c>
      <c r="CQ194" s="7" t="e">
        <f>IF(#REF!="","",IF(CE194=0,CC194,0))</f>
        <v>#REF!</v>
      </c>
      <c r="CR194" s="17"/>
      <c r="DE194"/>
    </row>
    <row r="195" spans="81:109" x14ac:dyDescent="0.25">
      <c r="CC195" s="7" t="e">
        <f>IF(#REF!="","",IF(#REF!="PF",#REF!,0))</f>
        <v>#REF!</v>
      </c>
      <c r="CD195" s="7" t="e">
        <f>IF(#REF!="","",IF(#REF!="PF",IF((#REF!+4)&lt;YEAR(#REF!),0,#REF!),0))</f>
        <v>#REF!</v>
      </c>
      <c r="CE195" s="7" t="e">
        <f>IF(#REF!="","",IF(AND(CD195&gt;0,#REF!&lt;&gt;""),CC195,0))</f>
        <v>#REF!</v>
      </c>
      <c r="CF195" s="7" t="e">
        <f>IF(#REF!="","",IF(AND($CE195&gt;0,#REF!= "GRENACHE N"),#REF!,0))</f>
        <v>#REF!</v>
      </c>
      <c r="CG195" s="7" t="e">
        <f>IF(#REF!="","",IF(AND($CE195&gt;0,#REF!="SYRAH N"),#REF!,0))</f>
        <v>#REF!</v>
      </c>
      <c r="CH195" s="7" t="e">
        <f>IF(#REF!="","",IF(AND($CE195&gt;0,#REF!="CINSAUT N"),#REF!,0))</f>
        <v>#REF!</v>
      </c>
      <c r="CI195" s="7" t="e">
        <f>IF(#REF!="","",IF(AND($CE195&gt;0,#REF!="TIBOUREN N"),#REF!,0))</f>
        <v>#REF!</v>
      </c>
      <c r="CJ195" s="7" t="e">
        <f>IF(#REF!="","",IF(AND($CE195&gt;0,#REF!="MOURVEDRE N"),#REF!,0))</f>
        <v>#REF!</v>
      </c>
      <c r="CK195" s="7" t="e">
        <f>IF(#REF!="","",IF(AND($CE195&gt;0,#REF!="CARIGNAN N"),#REF!,0))</f>
        <v>#REF!</v>
      </c>
      <c r="CL195" s="7" t="e">
        <f>IF(#REF!="","",IF(AND($CE195&gt;0,#REF!="CABERNET SAUVIGNON N"),#REF!,0))</f>
        <v>#REF!</v>
      </c>
      <c r="CM195" s="7" t="e">
        <f>IF(#REF!="","",IF(AND($CE195&gt;0,#REF!="VERMENTINO B"),#REF!,0))</f>
        <v>#REF!</v>
      </c>
      <c r="CN195" s="7" t="e">
        <f>IF(#REF!="","",IF(AND($CE195&gt;0,#REF!="UGNI BLANC B"),#REF!,0))</f>
        <v>#REF!</v>
      </c>
      <c r="CO195" s="7" t="e">
        <f>IF(#REF!="","",IF(AND($CE195&gt;0,#REF!="CLAIRETTE B"),#REF!,0))</f>
        <v>#REF!</v>
      </c>
      <c r="CP195" s="7" t="e">
        <f>IF(#REF!="","",IF(AND($CE195&gt;0,#REF!="semillon B"),#REF!,0))</f>
        <v>#REF!</v>
      </c>
      <c r="CQ195" s="7" t="e">
        <f>IF(#REF!="","",IF(CE195=0,CC195,0))</f>
        <v>#REF!</v>
      </c>
      <c r="CR195" s="17"/>
      <c r="DE195"/>
    </row>
    <row r="196" spans="81:109" x14ac:dyDescent="0.25">
      <c r="CC196" s="7" t="e">
        <f>IF(#REF!="","",IF(#REF!="PF",#REF!,0))</f>
        <v>#REF!</v>
      </c>
      <c r="CD196" s="7" t="e">
        <f>IF(#REF!="","",IF(#REF!="PF",IF((#REF!+4)&lt;YEAR(#REF!),0,#REF!),0))</f>
        <v>#REF!</v>
      </c>
      <c r="CE196" s="7" t="e">
        <f>IF(#REF!="","",IF(AND(CD196&gt;0,#REF!&lt;&gt;""),CC196,0))</f>
        <v>#REF!</v>
      </c>
      <c r="CF196" s="7" t="e">
        <f>IF(#REF!="","",IF(AND($CE196&gt;0,#REF!= "GRENACHE N"),#REF!,0))</f>
        <v>#REF!</v>
      </c>
      <c r="CG196" s="7" t="e">
        <f>IF(#REF!="","",IF(AND($CE196&gt;0,#REF!="SYRAH N"),#REF!,0))</f>
        <v>#REF!</v>
      </c>
      <c r="CH196" s="7" t="e">
        <f>IF(#REF!="","",IF(AND($CE196&gt;0,#REF!="CINSAUT N"),#REF!,0))</f>
        <v>#REF!</v>
      </c>
      <c r="CI196" s="7" t="e">
        <f>IF(#REF!="","",IF(AND($CE196&gt;0,#REF!="TIBOUREN N"),#REF!,0))</f>
        <v>#REF!</v>
      </c>
      <c r="CJ196" s="7" t="e">
        <f>IF(#REF!="","",IF(AND($CE196&gt;0,#REF!="MOURVEDRE N"),#REF!,0))</f>
        <v>#REF!</v>
      </c>
      <c r="CK196" s="7" t="e">
        <f>IF(#REF!="","",IF(AND($CE196&gt;0,#REF!="CARIGNAN N"),#REF!,0))</f>
        <v>#REF!</v>
      </c>
      <c r="CL196" s="7" t="e">
        <f>IF(#REF!="","",IF(AND($CE196&gt;0,#REF!="CABERNET SAUVIGNON N"),#REF!,0))</f>
        <v>#REF!</v>
      </c>
      <c r="CM196" s="7" t="e">
        <f>IF(#REF!="","",IF(AND($CE196&gt;0,#REF!="VERMENTINO B"),#REF!,0))</f>
        <v>#REF!</v>
      </c>
      <c r="CN196" s="7" t="e">
        <f>IF(#REF!="","",IF(AND($CE196&gt;0,#REF!="UGNI BLANC B"),#REF!,0))</f>
        <v>#REF!</v>
      </c>
      <c r="CO196" s="7" t="e">
        <f>IF(#REF!="","",IF(AND($CE196&gt;0,#REF!="CLAIRETTE B"),#REF!,0))</f>
        <v>#REF!</v>
      </c>
      <c r="CP196" s="7" t="e">
        <f>IF(#REF!="","",IF(AND($CE196&gt;0,#REF!="semillon B"),#REF!,0))</f>
        <v>#REF!</v>
      </c>
      <c r="CQ196" s="7" t="e">
        <f>IF(#REF!="","",IF(CE196=0,CC196,0))</f>
        <v>#REF!</v>
      </c>
      <c r="CR196" s="17"/>
      <c r="DE196"/>
    </row>
    <row r="197" spans="81:109" x14ac:dyDescent="0.25">
      <c r="CC197" s="7" t="e">
        <f>IF(#REF!="","",IF(#REF!="PF",#REF!,0))</f>
        <v>#REF!</v>
      </c>
      <c r="CD197" s="7" t="e">
        <f>IF(#REF!="","",IF(#REF!="PF",IF((#REF!+4)&lt;YEAR(#REF!),0,#REF!),0))</f>
        <v>#REF!</v>
      </c>
      <c r="CE197" s="7" t="e">
        <f>IF(#REF!="","",IF(AND(CD197&gt;0,#REF!&lt;&gt;""),CC197,0))</f>
        <v>#REF!</v>
      </c>
      <c r="CF197" s="7" t="e">
        <f>IF(#REF!="","",IF(AND($CE197&gt;0,#REF!= "GRENACHE N"),#REF!,0))</f>
        <v>#REF!</v>
      </c>
      <c r="CG197" s="7" t="e">
        <f>IF(#REF!="","",IF(AND($CE197&gt;0,#REF!="SYRAH N"),#REF!,0))</f>
        <v>#REF!</v>
      </c>
      <c r="CH197" s="7" t="e">
        <f>IF(#REF!="","",IF(AND($CE197&gt;0,#REF!="CINSAUT N"),#REF!,0))</f>
        <v>#REF!</v>
      </c>
      <c r="CI197" s="7" t="e">
        <f>IF(#REF!="","",IF(AND($CE197&gt;0,#REF!="TIBOUREN N"),#REF!,0))</f>
        <v>#REF!</v>
      </c>
      <c r="CJ197" s="7" t="e">
        <f>IF(#REF!="","",IF(AND($CE197&gt;0,#REF!="MOURVEDRE N"),#REF!,0))</f>
        <v>#REF!</v>
      </c>
      <c r="CK197" s="7" t="e">
        <f>IF(#REF!="","",IF(AND($CE197&gt;0,#REF!="CARIGNAN N"),#REF!,0))</f>
        <v>#REF!</v>
      </c>
      <c r="CL197" s="7" t="e">
        <f>IF(#REF!="","",IF(AND($CE197&gt;0,#REF!="CABERNET SAUVIGNON N"),#REF!,0))</f>
        <v>#REF!</v>
      </c>
      <c r="CM197" s="7" t="e">
        <f>IF(#REF!="","",IF(AND($CE197&gt;0,#REF!="VERMENTINO B"),#REF!,0))</f>
        <v>#REF!</v>
      </c>
      <c r="CN197" s="7" t="e">
        <f>IF(#REF!="","",IF(AND($CE197&gt;0,#REF!="UGNI BLANC B"),#REF!,0))</f>
        <v>#REF!</v>
      </c>
      <c r="CO197" s="7" t="e">
        <f>IF(#REF!="","",IF(AND($CE197&gt;0,#REF!="CLAIRETTE B"),#REF!,0))</f>
        <v>#REF!</v>
      </c>
      <c r="CP197" s="7" t="e">
        <f>IF(#REF!="","",IF(AND($CE197&gt;0,#REF!="semillon B"),#REF!,0))</f>
        <v>#REF!</v>
      </c>
      <c r="CQ197" s="7" t="e">
        <f>IF(#REF!="","",IF(CE197=0,CC197,0))</f>
        <v>#REF!</v>
      </c>
      <c r="CR197" s="17"/>
      <c r="DE197"/>
    </row>
    <row r="198" spans="81:109" x14ac:dyDescent="0.25">
      <c r="CC198" s="7" t="e">
        <f>IF(#REF!="","",IF(#REF!="PF",#REF!,0))</f>
        <v>#REF!</v>
      </c>
      <c r="CD198" s="7" t="e">
        <f>IF(#REF!="","",IF(#REF!="PF",IF((#REF!+4)&lt;YEAR(#REF!),0,#REF!),0))</f>
        <v>#REF!</v>
      </c>
      <c r="CE198" s="7" t="e">
        <f>IF(#REF!="","",IF(AND(CD198&gt;0,#REF!&lt;&gt;""),CC198,0))</f>
        <v>#REF!</v>
      </c>
      <c r="CF198" s="7" t="e">
        <f>IF(#REF!="","",IF(AND($CE198&gt;0,#REF!= "GRENACHE N"),#REF!,0))</f>
        <v>#REF!</v>
      </c>
      <c r="CG198" s="7" t="e">
        <f>IF(#REF!="","",IF(AND($CE198&gt;0,#REF!="SYRAH N"),#REF!,0))</f>
        <v>#REF!</v>
      </c>
      <c r="CH198" s="7" t="e">
        <f>IF(#REF!="","",IF(AND($CE198&gt;0,#REF!="CINSAUT N"),#REF!,0))</f>
        <v>#REF!</v>
      </c>
      <c r="CI198" s="7" t="e">
        <f>IF(#REF!="","",IF(AND($CE198&gt;0,#REF!="TIBOUREN N"),#REF!,0))</f>
        <v>#REF!</v>
      </c>
      <c r="CJ198" s="7" t="e">
        <f>IF(#REF!="","",IF(AND($CE198&gt;0,#REF!="MOURVEDRE N"),#REF!,0))</f>
        <v>#REF!</v>
      </c>
      <c r="CK198" s="7" t="e">
        <f>IF(#REF!="","",IF(AND($CE198&gt;0,#REF!="CARIGNAN N"),#REF!,0))</f>
        <v>#REF!</v>
      </c>
      <c r="CL198" s="7" t="e">
        <f>IF(#REF!="","",IF(AND($CE198&gt;0,#REF!="CABERNET SAUVIGNON N"),#REF!,0))</f>
        <v>#REF!</v>
      </c>
      <c r="CM198" s="7" t="e">
        <f>IF(#REF!="","",IF(AND($CE198&gt;0,#REF!="VERMENTINO B"),#REF!,0))</f>
        <v>#REF!</v>
      </c>
      <c r="CN198" s="7" t="e">
        <f>IF(#REF!="","",IF(AND($CE198&gt;0,#REF!="UGNI BLANC B"),#REF!,0))</f>
        <v>#REF!</v>
      </c>
      <c r="CO198" s="7" t="e">
        <f>IF(#REF!="","",IF(AND($CE198&gt;0,#REF!="CLAIRETTE B"),#REF!,0))</f>
        <v>#REF!</v>
      </c>
      <c r="CP198" s="7" t="e">
        <f>IF(#REF!="","",IF(AND($CE198&gt;0,#REF!="semillon B"),#REF!,0))</f>
        <v>#REF!</v>
      </c>
      <c r="CQ198" s="7" t="e">
        <f>IF(#REF!="","",IF(CE198=0,CC198,0))</f>
        <v>#REF!</v>
      </c>
      <c r="CR198" s="17"/>
      <c r="DE198"/>
    </row>
    <row r="199" spans="81:109" x14ac:dyDescent="0.25">
      <c r="CC199" s="7" t="e">
        <f>IF(#REF!="","",IF(#REF!="PF",#REF!,0))</f>
        <v>#REF!</v>
      </c>
      <c r="CD199" s="7" t="e">
        <f>IF(#REF!="","",IF(#REF!="PF",IF((#REF!+4)&lt;YEAR(#REF!),0,#REF!),0))</f>
        <v>#REF!</v>
      </c>
      <c r="CE199" s="7" t="e">
        <f>IF(#REF!="","",IF(AND(CD199&gt;0,#REF!&lt;&gt;""),CC199,0))</f>
        <v>#REF!</v>
      </c>
      <c r="CF199" s="7" t="e">
        <f>IF(#REF!="","",IF(AND($CE199&gt;0,#REF!= "GRENACHE N"),#REF!,0))</f>
        <v>#REF!</v>
      </c>
      <c r="CG199" s="7" t="e">
        <f>IF(#REF!="","",IF(AND($CE199&gt;0,#REF!="SYRAH N"),#REF!,0))</f>
        <v>#REF!</v>
      </c>
      <c r="CH199" s="7" t="e">
        <f>IF(#REF!="","",IF(AND($CE199&gt;0,#REF!="CINSAUT N"),#REF!,0))</f>
        <v>#REF!</v>
      </c>
      <c r="CI199" s="7" t="e">
        <f>IF(#REF!="","",IF(AND($CE199&gt;0,#REF!="TIBOUREN N"),#REF!,0))</f>
        <v>#REF!</v>
      </c>
      <c r="CJ199" s="7" t="e">
        <f>IF(#REF!="","",IF(AND($CE199&gt;0,#REF!="MOURVEDRE N"),#REF!,0))</f>
        <v>#REF!</v>
      </c>
      <c r="CK199" s="7" t="e">
        <f>IF(#REF!="","",IF(AND($CE199&gt;0,#REF!="CARIGNAN N"),#REF!,0))</f>
        <v>#REF!</v>
      </c>
      <c r="CL199" s="7" t="e">
        <f>IF(#REF!="","",IF(AND($CE199&gt;0,#REF!="CABERNET SAUVIGNON N"),#REF!,0))</f>
        <v>#REF!</v>
      </c>
      <c r="CM199" s="7" t="e">
        <f>IF(#REF!="","",IF(AND($CE199&gt;0,#REF!="VERMENTINO B"),#REF!,0))</f>
        <v>#REF!</v>
      </c>
      <c r="CN199" s="7" t="e">
        <f>IF(#REF!="","",IF(AND($CE199&gt;0,#REF!="UGNI BLANC B"),#REF!,0))</f>
        <v>#REF!</v>
      </c>
      <c r="CO199" s="7" t="e">
        <f>IF(#REF!="","",IF(AND($CE199&gt;0,#REF!="CLAIRETTE B"),#REF!,0))</f>
        <v>#REF!</v>
      </c>
      <c r="CP199" s="7" t="e">
        <f>IF(#REF!="","",IF(AND($CE199&gt;0,#REF!="semillon B"),#REF!,0))</f>
        <v>#REF!</v>
      </c>
      <c r="CQ199" s="7" t="e">
        <f>IF(#REF!="","",IF(CE199=0,CC199,0))</f>
        <v>#REF!</v>
      </c>
      <c r="CR199" s="17"/>
      <c r="DE199"/>
    </row>
    <row r="200" spans="81:109" x14ac:dyDescent="0.25">
      <c r="CC200" s="7" t="e">
        <f>IF(#REF!="","",IF(#REF!="PF",#REF!,0))</f>
        <v>#REF!</v>
      </c>
      <c r="CD200" s="7" t="e">
        <f>IF(#REF!="","",IF(#REF!="PF",IF((#REF!+4)&lt;YEAR(#REF!),0,#REF!),0))</f>
        <v>#REF!</v>
      </c>
      <c r="CE200" s="7" t="e">
        <f>IF(#REF!="","",IF(AND(CD200&gt;0,#REF!&lt;&gt;""),CC200,0))</f>
        <v>#REF!</v>
      </c>
      <c r="CF200" s="7" t="e">
        <f>IF(#REF!="","",IF(AND($CE200&gt;0,#REF!= "GRENACHE N"),#REF!,0))</f>
        <v>#REF!</v>
      </c>
      <c r="CG200" s="7" t="e">
        <f>IF(#REF!="","",IF(AND($CE200&gt;0,#REF!="SYRAH N"),#REF!,0))</f>
        <v>#REF!</v>
      </c>
      <c r="CH200" s="7" t="e">
        <f>IF(#REF!="","",IF(AND($CE200&gt;0,#REF!="CINSAUT N"),#REF!,0))</f>
        <v>#REF!</v>
      </c>
      <c r="CI200" s="7" t="e">
        <f>IF(#REF!="","",IF(AND($CE200&gt;0,#REF!="TIBOUREN N"),#REF!,0))</f>
        <v>#REF!</v>
      </c>
      <c r="CJ200" s="7" t="e">
        <f>IF(#REF!="","",IF(AND($CE200&gt;0,#REF!="MOURVEDRE N"),#REF!,0))</f>
        <v>#REF!</v>
      </c>
      <c r="CK200" s="7" t="e">
        <f>IF(#REF!="","",IF(AND($CE200&gt;0,#REF!="CARIGNAN N"),#REF!,0))</f>
        <v>#REF!</v>
      </c>
      <c r="CL200" s="7" t="e">
        <f>IF(#REF!="","",IF(AND($CE200&gt;0,#REF!="CABERNET SAUVIGNON N"),#REF!,0))</f>
        <v>#REF!</v>
      </c>
      <c r="CM200" s="7" t="e">
        <f>IF(#REF!="","",IF(AND($CE200&gt;0,#REF!="VERMENTINO B"),#REF!,0))</f>
        <v>#REF!</v>
      </c>
      <c r="CN200" s="7" t="e">
        <f>IF(#REF!="","",IF(AND($CE200&gt;0,#REF!="UGNI BLANC B"),#REF!,0))</f>
        <v>#REF!</v>
      </c>
      <c r="CO200" s="7" t="e">
        <f>IF(#REF!="","",IF(AND($CE200&gt;0,#REF!="CLAIRETTE B"),#REF!,0))</f>
        <v>#REF!</v>
      </c>
      <c r="CP200" s="7" t="e">
        <f>IF(#REF!="","",IF(AND($CE200&gt;0,#REF!="semillon B"),#REF!,0))</f>
        <v>#REF!</v>
      </c>
      <c r="CQ200" s="7" t="e">
        <f>IF(#REF!="","",IF(CE200=0,CC200,0))</f>
        <v>#REF!</v>
      </c>
      <c r="CR200" s="17"/>
      <c r="DE200"/>
    </row>
    <row r="201" spans="81:109" x14ac:dyDescent="0.25">
      <c r="CC201" s="7" t="e">
        <f>IF(#REF!="","",IF(#REF!="PF",#REF!,0))</f>
        <v>#REF!</v>
      </c>
      <c r="CD201" s="7" t="e">
        <f>IF(#REF!="","",IF(#REF!="PF",IF((#REF!+4)&lt;YEAR(#REF!),0,#REF!),0))</f>
        <v>#REF!</v>
      </c>
      <c r="CE201" s="7" t="e">
        <f>IF(#REF!="","",IF(AND(CD201&gt;0,#REF!&lt;&gt;""),CC201,0))</f>
        <v>#REF!</v>
      </c>
      <c r="CF201" s="7" t="e">
        <f>IF(#REF!="","",IF(AND($CE201&gt;0,#REF!= "GRENACHE N"),#REF!,0))</f>
        <v>#REF!</v>
      </c>
      <c r="CG201" s="7" t="e">
        <f>IF(#REF!="","",IF(AND($CE201&gt;0,#REF!="SYRAH N"),#REF!,0))</f>
        <v>#REF!</v>
      </c>
      <c r="CH201" s="7" t="e">
        <f>IF(#REF!="","",IF(AND($CE201&gt;0,#REF!="CINSAUT N"),#REF!,0))</f>
        <v>#REF!</v>
      </c>
      <c r="CI201" s="7" t="e">
        <f>IF(#REF!="","",IF(AND($CE201&gt;0,#REF!="TIBOUREN N"),#REF!,0))</f>
        <v>#REF!</v>
      </c>
      <c r="CJ201" s="7" t="e">
        <f>IF(#REF!="","",IF(AND($CE201&gt;0,#REF!="MOURVEDRE N"),#REF!,0))</f>
        <v>#REF!</v>
      </c>
      <c r="CK201" s="7" t="e">
        <f>IF(#REF!="","",IF(AND($CE201&gt;0,#REF!="CARIGNAN N"),#REF!,0))</f>
        <v>#REF!</v>
      </c>
      <c r="CL201" s="7" t="e">
        <f>IF(#REF!="","",IF(AND($CE201&gt;0,#REF!="CABERNET SAUVIGNON N"),#REF!,0))</f>
        <v>#REF!</v>
      </c>
      <c r="CM201" s="7" t="e">
        <f>IF(#REF!="","",IF(AND($CE201&gt;0,#REF!="VERMENTINO B"),#REF!,0))</f>
        <v>#REF!</v>
      </c>
      <c r="CN201" s="7" t="e">
        <f>IF(#REF!="","",IF(AND($CE201&gt;0,#REF!="UGNI BLANC B"),#REF!,0))</f>
        <v>#REF!</v>
      </c>
      <c r="CO201" s="7" t="e">
        <f>IF(#REF!="","",IF(AND($CE201&gt;0,#REF!="CLAIRETTE B"),#REF!,0))</f>
        <v>#REF!</v>
      </c>
      <c r="CP201" s="7" t="e">
        <f>IF(#REF!="","",IF(AND($CE201&gt;0,#REF!="semillon B"),#REF!,0))</f>
        <v>#REF!</v>
      </c>
      <c r="CQ201" s="7" t="e">
        <f>IF(#REF!="","",IF(CE201=0,CC201,0))</f>
        <v>#REF!</v>
      </c>
      <c r="CR201" s="17"/>
      <c r="DE201"/>
    </row>
    <row r="202" spans="81:109" x14ac:dyDescent="0.25">
      <c r="CC202" s="7" t="e">
        <f>IF(#REF!="","",IF(#REF!="PF",#REF!,0))</f>
        <v>#REF!</v>
      </c>
      <c r="CD202" s="7" t="e">
        <f>IF(#REF!="","",IF(#REF!="PF",IF((#REF!+4)&lt;YEAR(#REF!),0,#REF!),0))</f>
        <v>#REF!</v>
      </c>
      <c r="CE202" s="7" t="e">
        <f>IF(#REF!="","",IF(AND(CD202&gt;0,#REF!&lt;&gt;""),CC202,0))</f>
        <v>#REF!</v>
      </c>
      <c r="CF202" s="7" t="e">
        <f>IF(#REF!="","",IF(AND($CE202&gt;0,#REF!= "GRENACHE N"),#REF!,0))</f>
        <v>#REF!</v>
      </c>
      <c r="CG202" s="7" t="e">
        <f>IF(#REF!="","",IF(AND($CE202&gt;0,#REF!="SYRAH N"),#REF!,0))</f>
        <v>#REF!</v>
      </c>
      <c r="CH202" s="7" t="e">
        <f>IF(#REF!="","",IF(AND($CE202&gt;0,#REF!="CINSAUT N"),#REF!,0))</f>
        <v>#REF!</v>
      </c>
      <c r="CI202" s="7" t="e">
        <f>IF(#REF!="","",IF(AND($CE202&gt;0,#REF!="TIBOUREN N"),#REF!,0))</f>
        <v>#REF!</v>
      </c>
      <c r="CJ202" s="7" t="e">
        <f>IF(#REF!="","",IF(AND($CE202&gt;0,#REF!="MOURVEDRE N"),#REF!,0))</f>
        <v>#REF!</v>
      </c>
      <c r="CK202" s="7" t="e">
        <f>IF(#REF!="","",IF(AND($CE202&gt;0,#REF!="CARIGNAN N"),#REF!,0))</f>
        <v>#REF!</v>
      </c>
      <c r="CL202" s="7" t="e">
        <f>IF(#REF!="","",IF(AND($CE202&gt;0,#REF!="CABERNET SAUVIGNON N"),#REF!,0))</f>
        <v>#REF!</v>
      </c>
      <c r="CM202" s="7" t="e">
        <f>IF(#REF!="","",IF(AND($CE202&gt;0,#REF!="VERMENTINO B"),#REF!,0))</f>
        <v>#REF!</v>
      </c>
      <c r="CN202" s="7" t="e">
        <f>IF(#REF!="","",IF(AND($CE202&gt;0,#REF!="UGNI BLANC B"),#REF!,0))</f>
        <v>#REF!</v>
      </c>
      <c r="CO202" s="7" t="e">
        <f>IF(#REF!="","",IF(AND($CE202&gt;0,#REF!="CLAIRETTE B"),#REF!,0))</f>
        <v>#REF!</v>
      </c>
      <c r="CP202" s="7" t="e">
        <f>IF(#REF!="","",IF(AND($CE202&gt;0,#REF!="semillon B"),#REF!,0))</f>
        <v>#REF!</v>
      </c>
      <c r="CQ202" s="7" t="e">
        <f>IF(#REF!="","",IF(CE202=0,CC202,0))</f>
        <v>#REF!</v>
      </c>
      <c r="CR202" s="17"/>
      <c r="DE202"/>
    </row>
    <row r="203" spans="81:109" x14ac:dyDescent="0.25">
      <c r="CC203" s="7" t="e">
        <f>IF(#REF!="","",IF(#REF!="PF",#REF!,0))</f>
        <v>#REF!</v>
      </c>
      <c r="CD203" s="7" t="e">
        <f>IF(#REF!="","",IF(#REF!="PF",IF((#REF!+4)&lt;YEAR(#REF!),0,#REF!),0))</f>
        <v>#REF!</v>
      </c>
      <c r="CE203" s="7" t="e">
        <f>IF(#REF!="","",IF(AND(CD203&gt;0,#REF!&lt;&gt;""),CC203,0))</f>
        <v>#REF!</v>
      </c>
      <c r="CF203" s="7" t="e">
        <f>IF(#REF!="","",IF(AND($CE203&gt;0,#REF!= "GRENACHE N"),#REF!,0))</f>
        <v>#REF!</v>
      </c>
      <c r="CG203" s="7" t="e">
        <f>IF(#REF!="","",IF(AND($CE203&gt;0,#REF!="SYRAH N"),#REF!,0))</f>
        <v>#REF!</v>
      </c>
      <c r="CH203" s="7" t="e">
        <f>IF(#REF!="","",IF(AND($CE203&gt;0,#REF!="CINSAUT N"),#REF!,0))</f>
        <v>#REF!</v>
      </c>
      <c r="CI203" s="7" t="e">
        <f>IF(#REF!="","",IF(AND($CE203&gt;0,#REF!="TIBOUREN N"),#REF!,0))</f>
        <v>#REF!</v>
      </c>
      <c r="CJ203" s="7" t="e">
        <f>IF(#REF!="","",IF(AND($CE203&gt;0,#REF!="MOURVEDRE N"),#REF!,0))</f>
        <v>#REF!</v>
      </c>
      <c r="CK203" s="7" t="e">
        <f>IF(#REF!="","",IF(AND($CE203&gt;0,#REF!="CARIGNAN N"),#REF!,0))</f>
        <v>#REF!</v>
      </c>
      <c r="CL203" s="7" t="e">
        <f>IF(#REF!="","",IF(AND($CE203&gt;0,#REF!="CABERNET SAUVIGNON N"),#REF!,0))</f>
        <v>#REF!</v>
      </c>
      <c r="CM203" s="7" t="e">
        <f>IF(#REF!="","",IF(AND($CE203&gt;0,#REF!="VERMENTINO B"),#REF!,0))</f>
        <v>#REF!</v>
      </c>
      <c r="CN203" s="7" t="e">
        <f>IF(#REF!="","",IF(AND($CE203&gt;0,#REF!="UGNI BLANC B"),#REF!,0))</f>
        <v>#REF!</v>
      </c>
      <c r="CO203" s="7" t="e">
        <f>IF(#REF!="","",IF(AND($CE203&gt;0,#REF!="CLAIRETTE B"),#REF!,0))</f>
        <v>#REF!</v>
      </c>
      <c r="CP203" s="7" t="e">
        <f>IF(#REF!="","",IF(AND($CE203&gt;0,#REF!="semillon B"),#REF!,0))</f>
        <v>#REF!</v>
      </c>
      <c r="CQ203" s="7" t="e">
        <f>IF(#REF!="","",IF(CE203=0,CC203,0))</f>
        <v>#REF!</v>
      </c>
      <c r="CR203" s="17"/>
      <c r="DE203"/>
    </row>
    <row r="204" spans="81:109" x14ac:dyDescent="0.25">
      <c r="CC204" s="7" t="e">
        <f>IF(#REF!="","",IF(#REF!="PF",#REF!,0))</f>
        <v>#REF!</v>
      </c>
      <c r="CD204" s="7" t="e">
        <f>IF(#REF!="","",IF(#REF!="PF",IF((#REF!+4)&lt;YEAR(#REF!),0,#REF!),0))</f>
        <v>#REF!</v>
      </c>
      <c r="CE204" s="7" t="e">
        <f>IF(#REF!="","",IF(AND(CD204&gt;0,#REF!&lt;&gt;""),CC204,0))</f>
        <v>#REF!</v>
      </c>
      <c r="CF204" s="7" t="e">
        <f>IF(#REF!="","",IF(AND($CE204&gt;0,#REF!= "GRENACHE N"),#REF!,0))</f>
        <v>#REF!</v>
      </c>
      <c r="CG204" s="7" t="e">
        <f>IF(#REF!="","",IF(AND($CE204&gt;0,#REF!="SYRAH N"),#REF!,0))</f>
        <v>#REF!</v>
      </c>
      <c r="CH204" s="7" t="e">
        <f>IF(#REF!="","",IF(AND($CE204&gt;0,#REF!="CINSAUT N"),#REF!,0))</f>
        <v>#REF!</v>
      </c>
      <c r="CI204" s="7" t="e">
        <f>IF(#REF!="","",IF(AND($CE204&gt;0,#REF!="TIBOUREN N"),#REF!,0))</f>
        <v>#REF!</v>
      </c>
      <c r="CJ204" s="7" t="e">
        <f>IF(#REF!="","",IF(AND($CE204&gt;0,#REF!="MOURVEDRE N"),#REF!,0))</f>
        <v>#REF!</v>
      </c>
      <c r="CK204" s="7" t="e">
        <f>IF(#REF!="","",IF(AND($CE204&gt;0,#REF!="CARIGNAN N"),#REF!,0))</f>
        <v>#REF!</v>
      </c>
      <c r="CL204" s="7" t="e">
        <f>IF(#REF!="","",IF(AND($CE204&gt;0,#REF!="CABERNET SAUVIGNON N"),#REF!,0))</f>
        <v>#REF!</v>
      </c>
      <c r="CM204" s="7" t="e">
        <f>IF(#REF!="","",IF(AND($CE204&gt;0,#REF!="VERMENTINO B"),#REF!,0))</f>
        <v>#REF!</v>
      </c>
      <c r="CN204" s="7" t="e">
        <f>IF(#REF!="","",IF(AND($CE204&gt;0,#REF!="UGNI BLANC B"),#REF!,0))</f>
        <v>#REF!</v>
      </c>
      <c r="CO204" s="7" t="e">
        <f>IF(#REF!="","",IF(AND($CE204&gt;0,#REF!="CLAIRETTE B"),#REF!,0))</f>
        <v>#REF!</v>
      </c>
      <c r="CP204" s="7" t="e">
        <f>IF(#REF!="","",IF(AND($CE204&gt;0,#REF!="semillon B"),#REF!,0))</f>
        <v>#REF!</v>
      </c>
      <c r="CQ204" s="7" t="e">
        <f>IF(#REF!="","",IF(CE204=0,CC204,0))</f>
        <v>#REF!</v>
      </c>
      <c r="CR204" s="17"/>
      <c r="DE204"/>
    </row>
    <row r="205" spans="81:109" x14ac:dyDescent="0.25">
      <c r="CC205" s="7" t="e">
        <f>IF(#REF!="","",IF(#REF!="PF",#REF!,0))</f>
        <v>#REF!</v>
      </c>
      <c r="CD205" s="7" t="e">
        <f>IF(#REF!="","",IF(#REF!="PF",IF((#REF!+4)&lt;YEAR(#REF!),0,#REF!),0))</f>
        <v>#REF!</v>
      </c>
      <c r="CE205" s="7" t="e">
        <f>IF(#REF!="","",IF(AND(CD205&gt;0,#REF!&lt;&gt;""),CC205,0))</f>
        <v>#REF!</v>
      </c>
      <c r="CF205" s="7" t="e">
        <f>IF(#REF!="","",IF(AND($CE205&gt;0,#REF!= "GRENACHE N"),#REF!,0))</f>
        <v>#REF!</v>
      </c>
      <c r="CG205" s="7" t="e">
        <f>IF(#REF!="","",IF(AND($CE205&gt;0,#REF!="SYRAH N"),#REF!,0))</f>
        <v>#REF!</v>
      </c>
      <c r="CH205" s="7" t="e">
        <f>IF(#REF!="","",IF(AND($CE205&gt;0,#REF!="CINSAUT N"),#REF!,0))</f>
        <v>#REF!</v>
      </c>
      <c r="CI205" s="7" t="e">
        <f>IF(#REF!="","",IF(AND($CE205&gt;0,#REF!="TIBOUREN N"),#REF!,0))</f>
        <v>#REF!</v>
      </c>
      <c r="CJ205" s="7" t="e">
        <f>IF(#REF!="","",IF(AND($CE205&gt;0,#REF!="MOURVEDRE N"),#REF!,0))</f>
        <v>#REF!</v>
      </c>
      <c r="CK205" s="7" t="e">
        <f>IF(#REF!="","",IF(AND($CE205&gt;0,#REF!="CARIGNAN N"),#REF!,0))</f>
        <v>#REF!</v>
      </c>
      <c r="CL205" s="7" t="e">
        <f>IF(#REF!="","",IF(AND($CE205&gt;0,#REF!="CABERNET SAUVIGNON N"),#REF!,0))</f>
        <v>#REF!</v>
      </c>
      <c r="CM205" s="7" t="e">
        <f>IF(#REF!="","",IF(AND($CE205&gt;0,#REF!="VERMENTINO B"),#REF!,0))</f>
        <v>#REF!</v>
      </c>
      <c r="CN205" s="7" t="e">
        <f>IF(#REF!="","",IF(AND($CE205&gt;0,#REF!="UGNI BLANC B"),#REF!,0))</f>
        <v>#REF!</v>
      </c>
      <c r="CO205" s="7" t="e">
        <f>IF(#REF!="","",IF(AND($CE205&gt;0,#REF!="CLAIRETTE B"),#REF!,0))</f>
        <v>#REF!</v>
      </c>
      <c r="CP205" s="7" t="e">
        <f>IF(#REF!="","",IF(AND($CE205&gt;0,#REF!="semillon B"),#REF!,0))</f>
        <v>#REF!</v>
      </c>
      <c r="CQ205" s="7" t="e">
        <f>IF(#REF!="","",IF(CE205=0,CC205,0))</f>
        <v>#REF!</v>
      </c>
      <c r="CR205" s="17"/>
      <c r="DE205"/>
    </row>
    <row r="206" spans="81:109" x14ac:dyDescent="0.25">
      <c r="CC206" s="7" t="e">
        <f>IF(#REF!="","",IF(#REF!="PF",#REF!,0))</f>
        <v>#REF!</v>
      </c>
      <c r="CD206" s="7" t="e">
        <f>IF(#REF!="","",IF(#REF!="PF",IF((#REF!+4)&lt;YEAR(#REF!),0,#REF!),0))</f>
        <v>#REF!</v>
      </c>
      <c r="CE206" s="7" t="e">
        <f>IF(#REF!="","",IF(AND(CD206&gt;0,#REF!&lt;&gt;""),CC206,0))</f>
        <v>#REF!</v>
      </c>
      <c r="CF206" s="7" t="e">
        <f>IF(#REF!="","",IF(AND($CE206&gt;0,#REF!= "GRENACHE N"),#REF!,0))</f>
        <v>#REF!</v>
      </c>
      <c r="CG206" s="7" t="e">
        <f>IF(#REF!="","",IF(AND($CE206&gt;0,#REF!="SYRAH N"),#REF!,0))</f>
        <v>#REF!</v>
      </c>
      <c r="CH206" s="7" t="e">
        <f>IF(#REF!="","",IF(AND($CE206&gt;0,#REF!="CINSAUT N"),#REF!,0))</f>
        <v>#REF!</v>
      </c>
      <c r="CI206" s="7" t="e">
        <f>IF(#REF!="","",IF(AND($CE206&gt;0,#REF!="TIBOUREN N"),#REF!,0))</f>
        <v>#REF!</v>
      </c>
      <c r="CJ206" s="7" t="e">
        <f>IF(#REF!="","",IF(AND($CE206&gt;0,#REF!="MOURVEDRE N"),#REF!,0))</f>
        <v>#REF!</v>
      </c>
      <c r="CK206" s="7" t="e">
        <f>IF(#REF!="","",IF(AND($CE206&gt;0,#REF!="CARIGNAN N"),#REF!,0))</f>
        <v>#REF!</v>
      </c>
      <c r="CL206" s="7" t="e">
        <f>IF(#REF!="","",IF(AND($CE206&gt;0,#REF!="CABERNET SAUVIGNON N"),#REF!,0))</f>
        <v>#REF!</v>
      </c>
      <c r="CM206" s="7" t="e">
        <f>IF(#REF!="","",IF(AND($CE206&gt;0,#REF!="VERMENTINO B"),#REF!,0))</f>
        <v>#REF!</v>
      </c>
      <c r="CN206" s="7" t="e">
        <f>IF(#REF!="","",IF(AND($CE206&gt;0,#REF!="UGNI BLANC B"),#REF!,0))</f>
        <v>#REF!</v>
      </c>
      <c r="CO206" s="7" t="e">
        <f>IF(#REF!="","",IF(AND($CE206&gt;0,#REF!="CLAIRETTE B"),#REF!,0))</f>
        <v>#REF!</v>
      </c>
      <c r="CP206" s="7" t="e">
        <f>IF(#REF!="","",IF(AND($CE206&gt;0,#REF!="semillon B"),#REF!,0))</f>
        <v>#REF!</v>
      </c>
      <c r="CQ206" s="7" t="e">
        <f>IF(#REF!="","",IF(CE206=0,CC206,0))</f>
        <v>#REF!</v>
      </c>
      <c r="CR206" s="17"/>
      <c r="DE206"/>
    </row>
    <row r="207" spans="81:109" x14ac:dyDescent="0.25">
      <c r="CC207" s="7" t="e">
        <f>IF(#REF!="","",IF(#REF!="PF",#REF!,0))</f>
        <v>#REF!</v>
      </c>
      <c r="CD207" s="7" t="e">
        <f>IF(#REF!="","",IF(#REF!="PF",IF((#REF!+4)&lt;YEAR(#REF!),0,#REF!),0))</f>
        <v>#REF!</v>
      </c>
      <c r="CE207" s="7" t="e">
        <f>IF(#REF!="","",IF(AND(CD207&gt;0,#REF!&lt;&gt;""),CC207,0))</f>
        <v>#REF!</v>
      </c>
      <c r="CF207" s="7" t="e">
        <f>IF(#REF!="","",IF(AND($CE207&gt;0,#REF!= "GRENACHE N"),#REF!,0))</f>
        <v>#REF!</v>
      </c>
      <c r="CG207" s="7" t="e">
        <f>IF(#REF!="","",IF(AND($CE207&gt;0,#REF!="SYRAH N"),#REF!,0))</f>
        <v>#REF!</v>
      </c>
      <c r="CH207" s="7" t="e">
        <f>IF(#REF!="","",IF(AND($CE207&gt;0,#REF!="CINSAUT N"),#REF!,0))</f>
        <v>#REF!</v>
      </c>
      <c r="CI207" s="7" t="e">
        <f>IF(#REF!="","",IF(AND($CE207&gt;0,#REF!="TIBOUREN N"),#REF!,0))</f>
        <v>#REF!</v>
      </c>
      <c r="CJ207" s="7" t="e">
        <f>IF(#REF!="","",IF(AND($CE207&gt;0,#REF!="MOURVEDRE N"),#REF!,0))</f>
        <v>#REF!</v>
      </c>
      <c r="CK207" s="7" t="e">
        <f>IF(#REF!="","",IF(AND($CE207&gt;0,#REF!="CARIGNAN N"),#REF!,0))</f>
        <v>#REF!</v>
      </c>
      <c r="CL207" s="7" t="e">
        <f>IF(#REF!="","",IF(AND($CE207&gt;0,#REF!="CABERNET SAUVIGNON N"),#REF!,0))</f>
        <v>#REF!</v>
      </c>
      <c r="CM207" s="7" t="e">
        <f>IF(#REF!="","",IF(AND($CE207&gt;0,#REF!="VERMENTINO B"),#REF!,0))</f>
        <v>#REF!</v>
      </c>
      <c r="CN207" s="7" t="e">
        <f>IF(#REF!="","",IF(AND($CE207&gt;0,#REF!="UGNI BLANC B"),#REF!,0))</f>
        <v>#REF!</v>
      </c>
      <c r="CO207" s="7" t="e">
        <f>IF(#REF!="","",IF(AND($CE207&gt;0,#REF!="CLAIRETTE B"),#REF!,0))</f>
        <v>#REF!</v>
      </c>
      <c r="CP207" s="7" t="e">
        <f>IF(#REF!="","",IF(AND($CE207&gt;0,#REF!="semillon B"),#REF!,0))</f>
        <v>#REF!</v>
      </c>
      <c r="CQ207" s="7" t="e">
        <f>IF(#REF!="","",IF(CE207=0,CC207,0))</f>
        <v>#REF!</v>
      </c>
      <c r="CR207" s="17"/>
      <c r="DE207"/>
    </row>
    <row r="208" spans="81:109" x14ac:dyDescent="0.25">
      <c r="CC208" s="7" t="e">
        <f>IF(#REF!="","",IF(#REF!="PF",#REF!,0))</f>
        <v>#REF!</v>
      </c>
      <c r="CD208" s="7" t="e">
        <f>IF(#REF!="","",IF(#REF!="PF",IF((#REF!+4)&lt;YEAR(#REF!),0,#REF!),0))</f>
        <v>#REF!</v>
      </c>
      <c r="CE208" s="7" t="e">
        <f>IF(#REF!="","",IF(AND(CD208&gt;0,#REF!&lt;&gt;""),CC208,0))</f>
        <v>#REF!</v>
      </c>
      <c r="CF208" s="7" t="e">
        <f>IF(#REF!="","",IF(AND($CE208&gt;0,#REF!= "GRENACHE N"),#REF!,0))</f>
        <v>#REF!</v>
      </c>
      <c r="CG208" s="7" t="e">
        <f>IF(#REF!="","",IF(AND($CE208&gt;0,#REF!="SYRAH N"),#REF!,0))</f>
        <v>#REF!</v>
      </c>
      <c r="CH208" s="7" t="e">
        <f>IF(#REF!="","",IF(AND($CE208&gt;0,#REF!="CINSAUT N"),#REF!,0))</f>
        <v>#REF!</v>
      </c>
      <c r="CI208" s="7" t="e">
        <f>IF(#REF!="","",IF(AND($CE208&gt;0,#REF!="TIBOUREN N"),#REF!,0))</f>
        <v>#REF!</v>
      </c>
      <c r="CJ208" s="7" t="e">
        <f>IF(#REF!="","",IF(AND($CE208&gt;0,#REF!="MOURVEDRE N"),#REF!,0))</f>
        <v>#REF!</v>
      </c>
      <c r="CK208" s="7" t="e">
        <f>IF(#REF!="","",IF(AND($CE208&gt;0,#REF!="CARIGNAN N"),#REF!,0))</f>
        <v>#REF!</v>
      </c>
      <c r="CL208" s="7" t="e">
        <f>IF(#REF!="","",IF(AND($CE208&gt;0,#REF!="CABERNET SAUVIGNON N"),#REF!,0))</f>
        <v>#REF!</v>
      </c>
      <c r="CM208" s="7" t="e">
        <f>IF(#REF!="","",IF(AND($CE208&gt;0,#REF!="VERMENTINO B"),#REF!,0))</f>
        <v>#REF!</v>
      </c>
      <c r="CN208" s="7" t="e">
        <f>IF(#REF!="","",IF(AND($CE208&gt;0,#REF!="UGNI BLANC B"),#REF!,0))</f>
        <v>#REF!</v>
      </c>
      <c r="CO208" s="7" t="e">
        <f>IF(#REF!="","",IF(AND($CE208&gt;0,#REF!="CLAIRETTE B"),#REF!,0))</f>
        <v>#REF!</v>
      </c>
      <c r="CP208" s="7" t="e">
        <f>IF(#REF!="","",IF(AND($CE208&gt;0,#REF!="semillon B"),#REF!,0))</f>
        <v>#REF!</v>
      </c>
      <c r="CQ208" s="7" t="e">
        <f>IF(#REF!="","",IF(CE208=0,CC208,0))</f>
        <v>#REF!</v>
      </c>
      <c r="CR208" s="17"/>
      <c r="DE208"/>
    </row>
    <row r="209" spans="81:109" x14ac:dyDescent="0.25">
      <c r="CC209" s="7" t="e">
        <f>IF(#REF!="","",IF(#REF!="PF",#REF!,0))</f>
        <v>#REF!</v>
      </c>
      <c r="CD209" s="7" t="e">
        <f>IF(#REF!="","",IF(#REF!="PF",IF((#REF!+4)&lt;YEAR(#REF!),0,#REF!),0))</f>
        <v>#REF!</v>
      </c>
      <c r="CE209" s="7" t="e">
        <f>IF(#REF!="","",IF(AND(CD209&gt;0,#REF!&lt;&gt;""),CC209,0))</f>
        <v>#REF!</v>
      </c>
      <c r="CF209" s="7" t="e">
        <f>IF(#REF!="","",IF(AND($CE209&gt;0,#REF!= "GRENACHE N"),#REF!,0))</f>
        <v>#REF!</v>
      </c>
      <c r="CG209" s="7" t="e">
        <f>IF(#REF!="","",IF(AND($CE209&gt;0,#REF!="SYRAH N"),#REF!,0))</f>
        <v>#REF!</v>
      </c>
      <c r="CH209" s="7" t="e">
        <f>IF(#REF!="","",IF(AND($CE209&gt;0,#REF!="CINSAUT N"),#REF!,0))</f>
        <v>#REF!</v>
      </c>
      <c r="CI209" s="7" t="e">
        <f>IF(#REF!="","",IF(AND($CE209&gt;0,#REF!="TIBOUREN N"),#REF!,0))</f>
        <v>#REF!</v>
      </c>
      <c r="CJ209" s="7" t="e">
        <f>IF(#REF!="","",IF(AND($CE209&gt;0,#REF!="MOURVEDRE N"),#REF!,0))</f>
        <v>#REF!</v>
      </c>
      <c r="CK209" s="7" t="e">
        <f>IF(#REF!="","",IF(AND($CE209&gt;0,#REF!="CARIGNAN N"),#REF!,0))</f>
        <v>#REF!</v>
      </c>
      <c r="CL209" s="7" t="e">
        <f>IF(#REF!="","",IF(AND($CE209&gt;0,#REF!="CABERNET SAUVIGNON N"),#REF!,0))</f>
        <v>#REF!</v>
      </c>
      <c r="CM209" s="7" t="e">
        <f>IF(#REF!="","",IF(AND($CE209&gt;0,#REF!="VERMENTINO B"),#REF!,0))</f>
        <v>#REF!</v>
      </c>
      <c r="CN209" s="7" t="e">
        <f>IF(#REF!="","",IF(AND($CE209&gt;0,#REF!="UGNI BLANC B"),#REF!,0))</f>
        <v>#REF!</v>
      </c>
      <c r="CO209" s="7" t="e">
        <f>IF(#REF!="","",IF(AND($CE209&gt;0,#REF!="CLAIRETTE B"),#REF!,0))</f>
        <v>#REF!</v>
      </c>
      <c r="CP209" s="7" t="e">
        <f>IF(#REF!="","",IF(AND($CE209&gt;0,#REF!="semillon B"),#REF!,0))</f>
        <v>#REF!</v>
      </c>
      <c r="CQ209" s="7" t="e">
        <f>IF(#REF!="","",IF(CE209=0,CC209,0))</f>
        <v>#REF!</v>
      </c>
      <c r="CR209" s="17"/>
      <c r="DE209"/>
    </row>
    <row r="210" spans="81:109" x14ac:dyDescent="0.25">
      <c r="CC210" s="7" t="e">
        <f>IF(#REF!="","",IF(#REF!="PF",#REF!,0))</f>
        <v>#REF!</v>
      </c>
      <c r="CD210" s="7" t="e">
        <f>IF(#REF!="","",IF(#REF!="PF",IF((#REF!+4)&lt;YEAR(#REF!),0,#REF!),0))</f>
        <v>#REF!</v>
      </c>
      <c r="CE210" s="7" t="e">
        <f>IF(#REF!="","",IF(AND(CD210&gt;0,#REF!&lt;&gt;""),CC210,0))</f>
        <v>#REF!</v>
      </c>
      <c r="CF210" s="7" t="e">
        <f>IF(#REF!="","",IF(AND($CE210&gt;0,#REF!= "GRENACHE N"),#REF!,0))</f>
        <v>#REF!</v>
      </c>
      <c r="CG210" s="7" t="e">
        <f>IF(#REF!="","",IF(AND($CE210&gt;0,#REF!="SYRAH N"),#REF!,0))</f>
        <v>#REF!</v>
      </c>
      <c r="CH210" s="7" t="e">
        <f>IF(#REF!="","",IF(AND($CE210&gt;0,#REF!="CINSAUT N"),#REF!,0))</f>
        <v>#REF!</v>
      </c>
      <c r="CI210" s="7" t="e">
        <f>IF(#REF!="","",IF(AND($CE210&gt;0,#REF!="TIBOUREN N"),#REF!,0))</f>
        <v>#REF!</v>
      </c>
      <c r="CJ210" s="7" t="e">
        <f>IF(#REF!="","",IF(AND($CE210&gt;0,#REF!="MOURVEDRE N"),#REF!,0))</f>
        <v>#REF!</v>
      </c>
      <c r="CK210" s="7" t="e">
        <f>IF(#REF!="","",IF(AND($CE210&gt;0,#REF!="CARIGNAN N"),#REF!,0))</f>
        <v>#REF!</v>
      </c>
      <c r="CL210" s="7" t="e">
        <f>IF(#REF!="","",IF(AND($CE210&gt;0,#REF!="CABERNET SAUVIGNON N"),#REF!,0))</f>
        <v>#REF!</v>
      </c>
      <c r="CM210" s="7" t="e">
        <f>IF(#REF!="","",IF(AND($CE210&gt;0,#REF!="VERMENTINO B"),#REF!,0))</f>
        <v>#REF!</v>
      </c>
      <c r="CN210" s="7" t="e">
        <f>IF(#REF!="","",IF(AND($CE210&gt;0,#REF!="UGNI BLANC B"),#REF!,0))</f>
        <v>#REF!</v>
      </c>
      <c r="CO210" s="7" t="e">
        <f>IF(#REF!="","",IF(AND($CE210&gt;0,#REF!="CLAIRETTE B"),#REF!,0))</f>
        <v>#REF!</v>
      </c>
      <c r="CP210" s="7" t="e">
        <f>IF(#REF!="","",IF(AND($CE210&gt;0,#REF!="semillon B"),#REF!,0))</f>
        <v>#REF!</v>
      </c>
      <c r="CQ210" s="7" t="e">
        <f>IF(#REF!="","",IF(CE210=0,CC210,0))</f>
        <v>#REF!</v>
      </c>
      <c r="CR210" s="17"/>
      <c r="DE210"/>
    </row>
    <row r="211" spans="81:109" x14ac:dyDescent="0.25">
      <c r="CC211" s="7" t="e">
        <f>IF(#REF!="","",IF(#REF!="PF",#REF!,0))</f>
        <v>#REF!</v>
      </c>
      <c r="CD211" s="7" t="e">
        <f>IF(#REF!="","",IF(#REF!="PF",IF((#REF!+4)&lt;YEAR(#REF!),0,#REF!),0))</f>
        <v>#REF!</v>
      </c>
      <c r="CE211" s="7" t="e">
        <f>IF(#REF!="","",IF(AND(CD211&gt;0,#REF!&lt;&gt;""),CC211,0))</f>
        <v>#REF!</v>
      </c>
      <c r="CF211" s="7" t="e">
        <f>IF(#REF!="","",IF(AND($CE211&gt;0,#REF!= "GRENACHE N"),#REF!,0))</f>
        <v>#REF!</v>
      </c>
      <c r="CG211" s="7" t="e">
        <f>IF(#REF!="","",IF(AND($CE211&gt;0,#REF!="SYRAH N"),#REF!,0))</f>
        <v>#REF!</v>
      </c>
      <c r="CH211" s="7" t="e">
        <f>IF(#REF!="","",IF(AND($CE211&gt;0,#REF!="CINSAUT N"),#REF!,0))</f>
        <v>#REF!</v>
      </c>
      <c r="CI211" s="7" t="e">
        <f>IF(#REF!="","",IF(AND($CE211&gt;0,#REF!="TIBOUREN N"),#REF!,0))</f>
        <v>#REF!</v>
      </c>
      <c r="CJ211" s="7" t="e">
        <f>IF(#REF!="","",IF(AND($CE211&gt;0,#REF!="MOURVEDRE N"),#REF!,0))</f>
        <v>#REF!</v>
      </c>
      <c r="CK211" s="7" t="e">
        <f>IF(#REF!="","",IF(AND($CE211&gt;0,#REF!="CARIGNAN N"),#REF!,0))</f>
        <v>#REF!</v>
      </c>
      <c r="CL211" s="7" t="e">
        <f>IF(#REF!="","",IF(AND($CE211&gt;0,#REF!="CABERNET SAUVIGNON N"),#REF!,0))</f>
        <v>#REF!</v>
      </c>
      <c r="CM211" s="7" t="e">
        <f>IF(#REF!="","",IF(AND($CE211&gt;0,#REF!="VERMENTINO B"),#REF!,0))</f>
        <v>#REF!</v>
      </c>
      <c r="CN211" s="7" t="e">
        <f>IF(#REF!="","",IF(AND($CE211&gt;0,#REF!="UGNI BLANC B"),#REF!,0))</f>
        <v>#REF!</v>
      </c>
      <c r="CO211" s="7" t="e">
        <f>IF(#REF!="","",IF(AND($CE211&gt;0,#REF!="CLAIRETTE B"),#REF!,0))</f>
        <v>#REF!</v>
      </c>
      <c r="CP211" s="7" t="e">
        <f>IF(#REF!="","",IF(AND($CE211&gt;0,#REF!="semillon B"),#REF!,0))</f>
        <v>#REF!</v>
      </c>
      <c r="CQ211" s="7" t="e">
        <f>IF(#REF!="","",IF(CE211=0,CC211,0))</f>
        <v>#REF!</v>
      </c>
      <c r="CR211" s="17"/>
      <c r="DE211"/>
    </row>
    <row r="212" spans="81:109" x14ac:dyDescent="0.25">
      <c r="CC212" s="7" t="e">
        <f>IF(#REF!="","",IF(#REF!="PF",#REF!,0))</f>
        <v>#REF!</v>
      </c>
      <c r="CD212" s="7" t="e">
        <f>IF(#REF!="","",IF(#REF!="PF",IF((#REF!+4)&lt;YEAR(#REF!),0,#REF!),0))</f>
        <v>#REF!</v>
      </c>
      <c r="CE212" s="7" t="e">
        <f>IF(#REF!="","",IF(AND(CD212&gt;0,#REF!&lt;&gt;""),CC212,0))</f>
        <v>#REF!</v>
      </c>
      <c r="CF212" s="7" t="e">
        <f>IF(#REF!="","",IF(AND($CE212&gt;0,#REF!= "GRENACHE N"),#REF!,0))</f>
        <v>#REF!</v>
      </c>
      <c r="CG212" s="7" t="e">
        <f>IF(#REF!="","",IF(AND($CE212&gt;0,#REF!="SYRAH N"),#REF!,0))</f>
        <v>#REF!</v>
      </c>
      <c r="CH212" s="7" t="e">
        <f>IF(#REF!="","",IF(AND($CE212&gt;0,#REF!="CINSAUT N"),#REF!,0))</f>
        <v>#REF!</v>
      </c>
      <c r="CI212" s="7" t="e">
        <f>IF(#REF!="","",IF(AND($CE212&gt;0,#REF!="TIBOUREN N"),#REF!,0))</f>
        <v>#REF!</v>
      </c>
      <c r="CJ212" s="7" t="e">
        <f>IF(#REF!="","",IF(AND($CE212&gt;0,#REF!="MOURVEDRE N"),#REF!,0))</f>
        <v>#REF!</v>
      </c>
      <c r="CK212" s="7" t="e">
        <f>IF(#REF!="","",IF(AND($CE212&gt;0,#REF!="CARIGNAN N"),#REF!,0))</f>
        <v>#REF!</v>
      </c>
      <c r="CL212" s="7" t="e">
        <f>IF(#REF!="","",IF(AND($CE212&gt;0,#REF!="CABERNET SAUVIGNON N"),#REF!,0))</f>
        <v>#REF!</v>
      </c>
      <c r="CM212" s="7" t="e">
        <f>IF(#REF!="","",IF(AND($CE212&gt;0,#REF!="VERMENTINO B"),#REF!,0))</f>
        <v>#REF!</v>
      </c>
      <c r="CN212" s="7" t="e">
        <f>IF(#REF!="","",IF(AND($CE212&gt;0,#REF!="UGNI BLANC B"),#REF!,0))</f>
        <v>#REF!</v>
      </c>
      <c r="CO212" s="7" t="e">
        <f>IF(#REF!="","",IF(AND($CE212&gt;0,#REF!="CLAIRETTE B"),#REF!,0))</f>
        <v>#REF!</v>
      </c>
      <c r="CP212" s="7" t="e">
        <f>IF(#REF!="","",IF(AND($CE212&gt;0,#REF!="semillon B"),#REF!,0))</f>
        <v>#REF!</v>
      </c>
      <c r="CQ212" s="7" t="e">
        <f>IF(#REF!="","",IF(CE212=0,CC212,0))</f>
        <v>#REF!</v>
      </c>
      <c r="CR212" s="17"/>
      <c r="DE212"/>
    </row>
    <row r="213" spans="81:109" x14ac:dyDescent="0.25">
      <c r="CC213" s="7" t="e">
        <f>IF(#REF!="","",IF(#REF!="PF",#REF!,0))</f>
        <v>#REF!</v>
      </c>
      <c r="CD213" s="7" t="e">
        <f>IF(#REF!="","",IF(#REF!="PF",IF((#REF!+4)&lt;YEAR(#REF!),0,#REF!),0))</f>
        <v>#REF!</v>
      </c>
      <c r="CE213" s="7" t="e">
        <f>IF(#REF!="","",IF(AND(CD213&gt;0,#REF!&lt;&gt;""),CC213,0))</f>
        <v>#REF!</v>
      </c>
      <c r="CF213" s="7" t="e">
        <f>IF(#REF!="","",IF(AND($CE213&gt;0,#REF!= "GRENACHE N"),#REF!,0))</f>
        <v>#REF!</v>
      </c>
      <c r="CG213" s="7" t="e">
        <f>IF(#REF!="","",IF(AND($CE213&gt;0,#REF!="SYRAH N"),#REF!,0))</f>
        <v>#REF!</v>
      </c>
      <c r="CH213" s="7" t="e">
        <f>IF(#REF!="","",IF(AND($CE213&gt;0,#REF!="CINSAUT N"),#REF!,0))</f>
        <v>#REF!</v>
      </c>
      <c r="CI213" s="7" t="e">
        <f>IF(#REF!="","",IF(AND($CE213&gt;0,#REF!="TIBOUREN N"),#REF!,0))</f>
        <v>#REF!</v>
      </c>
      <c r="CJ213" s="7" t="e">
        <f>IF(#REF!="","",IF(AND($CE213&gt;0,#REF!="MOURVEDRE N"),#REF!,0))</f>
        <v>#REF!</v>
      </c>
      <c r="CK213" s="7" t="e">
        <f>IF(#REF!="","",IF(AND($CE213&gt;0,#REF!="CARIGNAN N"),#REF!,0))</f>
        <v>#REF!</v>
      </c>
      <c r="CL213" s="7" t="e">
        <f>IF(#REF!="","",IF(AND($CE213&gt;0,#REF!="CABERNET SAUVIGNON N"),#REF!,0))</f>
        <v>#REF!</v>
      </c>
      <c r="CM213" s="7" t="e">
        <f>IF(#REF!="","",IF(AND($CE213&gt;0,#REF!="VERMENTINO B"),#REF!,0))</f>
        <v>#REF!</v>
      </c>
      <c r="CN213" s="7" t="e">
        <f>IF(#REF!="","",IF(AND($CE213&gt;0,#REF!="UGNI BLANC B"),#REF!,0))</f>
        <v>#REF!</v>
      </c>
      <c r="CO213" s="7" t="e">
        <f>IF(#REF!="","",IF(AND($CE213&gt;0,#REF!="CLAIRETTE B"),#REF!,0))</f>
        <v>#REF!</v>
      </c>
      <c r="CP213" s="7" t="e">
        <f>IF(#REF!="","",IF(AND($CE213&gt;0,#REF!="semillon B"),#REF!,0))</f>
        <v>#REF!</v>
      </c>
      <c r="CQ213" s="7" t="e">
        <f>IF(#REF!="","",IF(CE213=0,CC213,0))</f>
        <v>#REF!</v>
      </c>
      <c r="CR213" s="17"/>
      <c r="DE213"/>
    </row>
    <row r="214" spans="81:109" x14ac:dyDescent="0.25">
      <c r="CC214" s="7" t="e">
        <f>IF(#REF!="","",IF(#REF!="PF",#REF!,0))</f>
        <v>#REF!</v>
      </c>
      <c r="CD214" s="7" t="e">
        <f>IF(#REF!="","",IF(#REF!="PF",IF((#REF!+4)&lt;YEAR(#REF!),0,#REF!),0))</f>
        <v>#REF!</v>
      </c>
      <c r="CE214" s="7" t="e">
        <f>IF(#REF!="","",IF(AND(CD214&gt;0,#REF!&lt;&gt;""),CC214,0))</f>
        <v>#REF!</v>
      </c>
      <c r="CF214" s="7" t="e">
        <f>IF(#REF!="","",IF(AND($CE214&gt;0,#REF!= "GRENACHE N"),#REF!,0))</f>
        <v>#REF!</v>
      </c>
      <c r="CG214" s="7" t="e">
        <f>IF(#REF!="","",IF(AND($CE214&gt;0,#REF!="SYRAH N"),#REF!,0))</f>
        <v>#REF!</v>
      </c>
      <c r="CH214" s="7" t="e">
        <f>IF(#REF!="","",IF(AND($CE214&gt;0,#REF!="CINSAUT N"),#REF!,0))</f>
        <v>#REF!</v>
      </c>
      <c r="CI214" s="7" t="e">
        <f>IF(#REF!="","",IF(AND($CE214&gt;0,#REF!="TIBOUREN N"),#REF!,0))</f>
        <v>#REF!</v>
      </c>
      <c r="CJ214" s="7" t="e">
        <f>IF(#REF!="","",IF(AND($CE214&gt;0,#REF!="MOURVEDRE N"),#REF!,0))</f>
        <v>#REF!</v>
      </c>
      <c r="CK214" s="7" t="e">
        <f>IF(#REF!="","",IF(AND($CE214&gt;0,#REF!="CARIGNAN N"),#REF!,0))</f>
        <v>#REF!</v>
      </c>
      <c r="CL214" s="7" t="e">
        <f>IF(#REF!="","",IF(AND($CE214&gt;0,#REF!="CABERNET SAUVIGNON N"),#REF!,0))</f>
        <v>#REF!</v>
      </c>
      <c r="CM214" s="7" t="e">
        <f>IF(#REF!="","",IF(AND($CE214&gt;0,#REF!="VERMENTINO B"),#REF!,0))</f>
        <v>#REF!</v>
      </c>
      <c r="CN214" s="7" t="e">
        <f>IF(#REF!="","",IF(AND($CE214&gt;0,#REF!="UGNI BLANC B"),#REF!,0))</f>
        <v>#REF!</v>
      </c>
      <c r="CO214" s="7" t="e">
        <f>IF(#REF!="","",IF(AND($CE214&gt;0,#REF!="CLAIRETTE B"),#REF!,0))</f>
        <v>#REF!</v>
      </c>
      <c r="CP214" s="7" t="e">
        <f>IF(#REF!="","",IF(AND($CE214&gt;0,#REF!="semillon B"),#REF!,0))</f>
        <v>#REF!</v>
      </c>
      <c r="CQ214" s="7" t="e">
        <f>IF(#REF!="","",IF(CE214=0,CC214,0))</f>
        <v>#REF!</v>
      </c>
      <c r="CR214" s="17"/>
      <c r="DE214"/>
    </row>
    <row r="215" spans="81:109" x14ac:dyDescent="0.25">
      <c r="CC215" s="7" t="e">
        <f>IF(#REF!="","",IF(#REF!="PF",#REF!,0))</f>
        <v>#REF!</v>
      </c>
      <c r="CD215" s="7" t="e">
        <f>IF(#REF!="","",IF(#REF!="PF",IF((#REF!+4)&lt;YEAR(#REF!),0,#REF!),0))</f>
        <v>#REF!</v>
      </c>
      <c r="CE215" s="7" t="e">
        <f>IF(#REF!="","",IF(AND(CD215&gt;0,#REF!&lt;&gt;""),CC215,0))</f>
        <v>#REF!</v>
      </c>
      <c r="CF215" s="7" t="e">
        <f>IF(#REF!="","",IF(AND($CE215&gt;0,#REF!= "GRENACHE N"),#REF!,0))</f>
        <v>#REF!</v>
      </c>
      <c r="CG215" s="7" t="e">
        <f>IF(#REF!="","",IF(AND($CE215&gt;0,#REF!="SYRAH N"),#REF!,0))</f>
        <v>#REF!</v>
      </c>
      <c r="CH215" s="7" t="e">
        <f>IF(#REF!="","",IF(AND($CE215&gt;0,#REF!="CINSAUT N"),#REF!,0))</f>
        <v>#REF!</v>
      </c>
      <c r="CI215" s="7" t="e">
        <f>IF(#REF!="","",IF(AND($CE215&gt;0,#REF!="TIBOUREN N"),#REF!,0))</f>
        <v>#REF!</v>
      </c>
      <c r="CJ215" s="7" t="e">
        <f>IF(#REF!="","",IF(AND($CE215&gt;0,#REF!="MOURVEDRE N"),#REF!,0))</f>
        <v>#REF!</v>
      </c>
      <c r="CK215" s="7" t="e">
        <f>IF(#REF!="","",IF(AND($CE215&gt;0,#REF!="CARIGNAN N"),#REF!,0))</f>
        <v>#REF!</v>
      </c>
      <c r="CL215" s="7" t="e">
        <f>IF(#REF!="","",IF(AND($CE215&gt;0,#REF!="CABERNET SAUVIGNON N"),#REF!,0))</f>
        <v>#REF!</v>
      </c>
      <c r="CM215" s="7" t="e">
        <f>IF(#REF!="","",IF(AND($CE215&gt;0,#REF!="VERMENTINO B"),#REF!,0))</f>
        <v>#REF!</v>
      </c>
      <c r="CN215" s="7" t="e">
        <f>IF(#REF!="","",IF(AND($CE215&gt;0,#REF!="UGNI BLANC B"),#REF!,0))</f>
        <v>#REF!</v>
      </c>
      <c r="CO215" s="7" t="e">
        <f>IF(#REF!="","",IF(AND($CE215&gt;0,#REF!="CLAIRETTE B"),#REF!,0))</f>
        <v>#REF!</v>
      </c>
      <c r="CP215" s="7" t="e">
        <f>IF(#REF!="","",IF(AND($CE215&gt;0,#REF!="semillon B"),#REF!,0))</f>
        <v>#REF!</v>
      </c>
      <c r="CQ215" s="7" t="e">
        <f>IF(#REF!="","",IF(CE215=0,CC215,0))</f>
        <v>#REF!</v>
      </c>
      <c r="CR215" s="17"/>
      <c r="DE215"/>
    </row>
    <row r="216" spans="81:109" x14ac:dyDescent="0.25">
      <c r="CC216" s="7" t="e">
        <f>IF(#REF!="","",IF(#REF!="PF",#REF!,0))</f>
        <v>#REF!</v>
      </c>
      <c r="CD216" s="7" t="e">
        <f>IF(#REF!="","",IF(#REF!="PF",IF((#REF!+4)&lt;YEAR(#REF!),0,#REF!),0))</f>
        <v>#REF!</v>
      </c>
      <c r="CE216" s="7" t="e">
        <f>IF(#REF!="","",IF(AND(CD216&gt;0,#REF!&lt;&gt;""),CC216,0))</f>
        <v>#REF!</v>
      </c>
      <c r="CF216" s="7" t="e">
        <f>IF(#REF!="","",IF(AND($CE216&gt;0,#REF!= "GRENACHE N"),#REF!,0))</f>
        <v>#REF!</v>
      </c>
      <c r="CG216" s="7" t="e">
        <f>IF(#REF!="","",IF(AND($CE216&gt;0,#REF!="SYRAH N"),#REF!,0))</f>
        <v>#REF!</v>
      </c>
      <c r="CH216" s="7" t="e">
        <f>IF(#REF!="","",IF(AND($CE216&gt;0,#REF!="CINSAUT N"),#REF!,0))</f>
        <v>#REF!</v>
      </c>
      <c r="CI216" s="7" t="e">
        <f>IF(#REF!="","",IF(AND($CE216&gt;0,#REF!="TIBOUREN N"),#REF!,0))</f>
        <v>#REF!</v>
      </c>
      <c r="CJ216" s="7" t="e">
        <f>IF(#REF!="","",IF(AND($CE216&gt;0,#REF!="MOURVEDRE N"),#REF!,0))</f>
        <v>#REF!</v>
      </c>
      <c r="CK216" s="7" t="e">
        <f>IF(#REF!="","",IF(AND($CE216&gt;0,#REF!="CARIGNAN N"),#REF!,0))</f>
        <v>#REF!</v>
      </c>
      <c r="CL216" s="7" t="e">
        <f>IF(#REF!="","",IF(AND($CE216&gt;0,#REF!="CABERNET SAUVIGNON N"),#REF!,0))</f>
        <v>#REF!</v>
      </c>
      <c r="CM216" s="7" t="e">
        <f>IF(#REF!="","",IF(AND($CE216&gt;0,#REF!="VERMENTINO B"),#REF!,0))</f>
        <v>#REF!</v>
      </c>
      <c r="CN216" s="7" t="e">
        <f>IF(#REF!="","",IF(AND($CE216&gt;0,#REF!="UGNI BLANC B"),#REF!,0))</f>
        <v>#REF!</v>
      </c>
      <c r="CO216" s="7" t="e">
        <f>IF(#REF!="","",IF(AND($CE216&gt;0,#REF!="CLAIRETTE B"),#REF!,0))</f>
        <v>#REF!</v>
      </c>
      <c r="CP216" s="7" t="e">
        <f>IF(#REF!="","",IF(AND($CE216&gt;0,#REF!="semillon B"),#REF!,0))</f>
        <v>#REF!</v>
      </c>
      <c r="CQ216" s="7" t="e">
        <f>IF(#REF!="","",IF(CE216=0,CC216,0))</f>
        <v>#REF!</v>
      </c>
      <c r="CR216" s="17"/>
      <c r="DE216"/>
    </row>
    <row r="217" spans="81:109" x14ac:dyDescent="0.25">
      <c r="CC217" s="7" t="e">
        <f>IF(#REF!="","",IF(#REF!="PF",#REF!,0))</f>
        <v>#REF!</v>
      </c>
      <c r="CD217" s="7" t="e">
        <f>IF(#REF!="","",IF(#REF!="PF",IF((#REF!+4)&lt;YEAR(#REF!),0,#REF!),0))</f>
        <v>#REF!</v>
      </c>
      <c r="CE217" s="7" t="e">
        <f>IF(#REF!="","",IF(AND(CD217&gt;0,#REF!&lt;&gt;""),CC217,0))</f>
        <v>#REF!</v>
      </c>
      <c r="CF217" s="7" t="e">
        <f>IF(#REF!="","",IF(AND($CE217&gt;0,#REF!= "GRENACHE N"),#REF!,0))</f>
        <v>#REF!</v>
      </c>
      <c r="CG217" s="7" t="e">
        <f>IF(#REF!="","",IF(AND($CE217&gt;0,#REF!="SYRAH N"),#REF!,0))</f>
        <v>#REF!</v>
      </c>
      <c r="CH217" s="7" t="e">
        <f>IF(#REF!="","",IF(AND($CE217&gt;0,#REF!="CINSAUT N"),#REF!,0))</f>
        <v>#REF!</v>
      </c>
      <c r="CI217" s="7" t="e">
        <f>IF(#REF!="","",IF(AND($CE217&gt;0,#REF!="TIBOUREN N"),#REF!,0))</f>
        <v>#REF!</v>
      </c>
      <c r="CJ217" s="7" t="e">
        <f>IF(#REF!="","",IF(AND($CE217&gt;0,#REF!="MOURVEDRE N"),#REF!,0))</f>
        <v>#REF!</v>
      </c>
      <c r="CK217" s="7" t="e">
        <f>IF(#REF!="","",IF(AND($CE217&gt;0,#REF!="CARIGNAN N"),#REF!,0))</f>
        <v>#REF!</v>
      </c>
      <c r="CL217" s="7" t="e">
        <f>IF(#REF!="","",IF(AND($CE217&gt;0,#REF!="CABERNET SAUVIGNON N"),#REF!,0))</f>
        <v>#REF!</v>
      </c>
      <c r="CM217" s="7" t="e">
        <f>IF(#REF!="","",IF(AND($CE217&gt;0,#REF!="VERMENTINO B"),#REF!,0))</f>
        <v>#REF!</v>
      </c>
      <c r="CN217" s="7" t="e">
        <f>IF(#REF!="","",IF(AND($CE217&gt;0,#REF!="UGNI BLANC B"),#REF!,0))</f>
        <v>#REF!</v>
      </c>
      <c r="CO217" s="7" t="e">
        <f>IF(#REF!="","",IF(AND($CE217&gt;0,#REF!="CLAIRETTE B"),#REF!,0))</f>
        <v>#REF!</v>
      </c>
      <c r="CP217" s="7" t="e">
        <f>IF(#REF!="","",IF(AND($CE217&gt;0,#REF!="semillon B"),#REF!,0))</f>
        <v>#REF!</v>
      </c>
      <c r="CQ217" s="7" t="e">
        <f>IF(#REF!="","",IF(CE217=0,CC217,0))</f>
        <v>#REF!</v>
      </c>
      <c r="CR217" s="17"/>
      <c r="DE217"/>
    </row>
    <row r="218" spans="81:109" x14ac:dyDescent="0.25">
      <c r="CC218" s="7" t="e">
        <f>IF(#REF!="","",IF(#REF!="PF",#REF!,0))</f>
        <v>#REF!</v>
      </c>
      <c r="CD218" s="7" t="e">
        <f>IF(#REF!="","",IF(#REF!="PF",IF((#REF!+4)&lt;YEAR(#REF!),0,#REF!),0))</f>
        <v>#REF!</v>
      </c>
      <c r="CE218" s="7" t="e">
        <f>IF(#REF!="","",IF(AND(CD218&gt;0,#REF!&lt;&gt;""),CC218,0))</f>
        <v>#REF!</v>
      </c>
      <c r="CF218" s="7" t="e">
        <f>IF(#REF!="","",IF(AND($CE218&gt;0,#REF!= "GRENACHE N"),#REF!,0))</f>
        <v>#REF!</v>
      </c>
      <c r="CG218" s="7" t="e">
        <f>IF(#REF!="","",IF(AND($CE218&gt;0,#REF!="SYRAH N"),#REF!,0))</f>
        <v>#REF!</v>
      </c>
      <c r="CH218" s="7" t="e">
        <f>IF(#REF!="","",IF(AND($CE218&gt;0,#REF!="CINSAUT N"),#REF!,0))</f>
        <v>#REF!</v>
      </c>
      <c r="CI218" s="7" t="e">
        <f>IF(#REF!="","",IF(AND($CE218&gt;0,#REF!="TIBOUREN N"),#REF!,0))</f>
        <v>#REF!</v>
      </c>
      <c r="CJ218" s="7" t="e">
        <f>IF(#REF!="","",IF(AND($CE218&gt;0,#REF!="MOURVEDRE N"),#REF!,0))</f>
        <v>#REF!</v>
      </c>
      <c r="CK218" s="7" t="e">
        <f>IF(#REF!="","",IF(AND($CE218&gt;0,#REF!="CARIGNAN N"),#REF!,0))</f>
        <v>#REF!</v>
      </c>
      <c r="CL218" s="7" t="e">
        <f>IF(#REF!="","",IF(AND($CE218&gt;0,#REF!="CABERNET SAUVIGNON N"),#REF!,0))</f>
        <v>#REF!</v>
      </c>
      <c r="CM218" s="7" t="e">
        <f>IF(#REF!="","",IF(AND($CE218&gt;0,#REF!="VERMENTINO B"),#REF!,0))</f>
        <v>#REF!</v>
      </c>
      <c r="CN218" s="7" t="e">
        <f>IF(#REF!="","",IF(AND($CE218&gt;0,#REF!="UGNI BLANC B"),#REF!,0))</f>
        <v>#REF!</v>
      </c>
      <c r="CO218" s="7" t="e">
        <f>IF(#REF!="","",IF(AND($CE218&gt;0,#REF!="CLAIRETTE B"),#REF!,0))</f>
        <v>#REF!</v>
      </c>
      <c r="CP218" s="7" t="e">
        <f>IF(#REF!="","",IF(AND($CE218&gt;0,#REF!="semillon B"),#REF!,0))</f>
        <v>#REF!</v>
      </c>
      <c r="CQ218" s="7" t="e">
        <f>IF(#REF!="","",IF(CE218=0,CC218,0))</f>
        <v>#REF!</v>
      </c>
      <c r="CR218" s="17"/>
      <c r="DE218"/>
    </row>
    <row r="219" spans="81:109" x14ac:dyDescent="0.25">
      <c r="CC219" s="7" t="e">
        <f>IF(#REF!="","",IF(#REF!="PF",#REF!,0))</f>
        <v>#REF!</v>
      </c>
      <c r="CD219" s="7" t="e">
        <f>IF(#REF!="","",IF(#REF!="PF",IF((#REF!+4)&lt;YEAR(#REF!),0,#REF!),0))</f>
        <v>#REF!</v>
      </c>
      <c r="CE219" s="7" t="e">
        <f>IF(#REF!="","",IF(AND(CD219&gt;0,#REF!&lt;&gt;""),CC219,0))</f>
        <v>#REF!</v>
      </c>
      <c r="CF219" s="7" t="e">
        <f>IF(#REF!="","",IF(AND($CE219&gt;0,#REF!= "GRENACHE N"),#REF!,0))</f>
        <v>#REF!</v>
      </c>
      <c r="CG219" s="7" t="e">
        <f>IF(#REF!="","",IF(AND($CE219&gt;0,#REF!="SYRAH N"),#REF!,0))</f>
        <v>#REF!</v>
      </c>
      <c r="CH219" s="7" t="e">
        <f>IF(#REF!="","",IF(AND($CE219&gt;0,#REF!="CINSAUT N"),#REF!,0))</f>
        <v>#REF!</v>
      </c>
      <c r="CI219" s="7" t="e">
        <f>IF(#REF!="","",IF(AND($CE219&gt;0,#REF!="TIBOUREN N"),#REF!,0))</f>
        <v>#REF!</v>
      </c>
      <c r="CJ219" s="7" t="e">
        <f>IF(#REF!="","",IF(AND($CE219&gt;0,#REF!="MOURVEDRE N"),#REF!,0))</f>
        <v>#REF!</v>
      </c>
      <c r="CK219" s="7" t="e">
        <f>IF(#REF!="","",IF(AND($CE219&gt;0,#REF!="CARIGNAN N"),#REF!,0))</f>
        <v>#REF!</v>
      </c>
      <c r="CL219" s="7" t="e">
        <f>IF(#REF!="","",IF(AND($CE219&gt;0,#REF!="CABERNET SAUVIGNON N"),#REF!,0))</f>
        <v>#REF!</v>
      </c>
      <c r="CM219" s="7" t="e">
        <f>IF(#REF!="","",IF(AND($CE219&gt;0,#REF!="VERMENTINO B"),#REF!,0))</f>
        <v>#REF!</v>
      </c>
      <c r="CN219" s="7" t="e">
        <f>IF(#REF!="","",IF(AND($CE219&gt;0,#REF!="UGNI BLANC B"),#REF!,0))</f>
        <v>#REF!</v>
      </c>
      <c r="CO219" s="7" t="e">
        <f>IF(#REF!="","",IF(AND($CE219&gt;0,#REF!="CLAIRETTE B"),#REF!,0))</f>
        <v>#REF!</v>
      </c>
      <c r="CP219" s="7" t="e">
        <f>IF(#REF!="","",IF(AND($CE219&gt;0,#REF!="semillon B"),#REF!,0))</f>
        <v>#REF!</v>
      </c>
      <c r="CQ219" s="7" t="e">
        <f>IF(#REF!="","",IF(CE219=0,CC219,0))</f>
        <v>#REF!</v>
      </c>
      <c r="CR219" s="17"/>
      <c r="DE219"/>
    </row>
    <row r="220" spans="81:109" x14ac:dyDescent="0.25">
      <c r="CC220" s="7" t="e">
        <f>IF(#REF!="","",IF(#REF!="PF",#REF!,0))</f>
        <v>#REF!</v>
      </c>
      <c r="CD220" s="7" t="e">
        <f>IF(#REF!="","",IF(#REF!="PF",IF((#REF!+4)&lt;YEAR(#REF!),0,#REF!),0))</f>
        <v>#REF!</v>
      </c>
      <c r="CE220" s="7" t="e">
        <f>IF(#REF!="","",IF(AND(CD220&gt;0,#REF!&lt;&gt;""),CC220,0))</f>
        <v>#REF!</v>
      </c>
      <c r="CF220" s="7" t="e">
        <f>IF(#REF!="","",IF(AND($CE220&gt;0,#REF!= "GRENACHE N"),#REF!,0))</f>
        <v>#REF!</v>
      </c>
      <c r="CG220" s="7" t="e">
        <f>IF(#REF!="","",IF(AND($CE220&gt;0,#REF!="SYRAH N"),#REF!,0))</f>
        <v>#REF!</v>
      </c>
      <c r="CH220" s="7" t="e">
        <f>IF(#REF!="","",IF(AND($CE220&gt;0,#REF!="CINSAUT N"),#REF!,0))</f>
        <v>#REF!</v>
      </c>
      <c r="CI220" s="7" t="e">
        <f>IF(#REF!="","",IF(AND($CE220&gt;0,#REF!="TIBOUREN N"),#REF!,0))</f>
        <v>#REF!</v>
      </c>
      <c r="CJ220" s="7" t="e">
        <f>IF(#REF!="","",IF(AND($CE220&gt;0,#REF!="MOURVEDRE N"),#REF!,0))</f>
        <v>#REF!</v>
      </c>
      <c r="CK220" s="7" t="e">
        <f>IF(#REF!="","",IF(AND($CE220&gt;0,#REF!="CARIGNAN N"),#REF!,0))</f>
        <v>#REF!</v>
      </c>
      <c r="CL220" s="7" t="e">
        <f>IF(#REF!="","",IF(AND($CE220&gt;0,#REF!="CABERNET SAUVIGNON N"),#REF!,0))</f>
        <v>#REF!</v>
      </c>
      <c r="CM220" s="7" t="e">
        <f>IF(#REF!="","",IF(AND($CE220&gt;0,#REF!="VERMENTINO B"),#REF!,0))</f>
        <v>#REF!</v>
      </c>
      <c r="CN220" s="7" t="e">
        <f>IF(#REF!="","",IF(AND($CE220&gt;0,#REF!="UGNI BLANC B"),#REF!,0))</f>
        <v>#REF!</v>
      </c>
      <c r="CO220" s="7" t="e">
        <f>IF(#REF!="","",IF(AND($CE220&gt;0,#REF!="CLAIRETTE B"),#REF!,0))</f>
        <v>#REF!</v>
      </c>
      <c r="CP220" s="7" t="e">
        <f>IF(#REF!="","",IF(AND($CE220&gt;0,#REF!="semillon B"),#REF!,0))</f>
        <v>#REF!</v>
      </c>
      <c r="CQ220" s="7" t="e">
        <f>IF(#REF!="","",IF(CE220=0,CC220,0))</f>
        <v>#REF!</v>
      </c>
      <c r="CR220" s="17"/>
      <c r="DE220"/>
    </row>
    <row r="221" spans="81:109" x14ac:dyDescent="0.25">
      <c r="CC221" s="7" t="e">
        <f>IF(#REF!="","",IF(#REF!="PF",#REF!,0))</f>
        <v>#REF!</v>
      </c>
      <c r="CD221" s="7" t="e">
        <f>IF(#REF!="","",IF(#REF!="PF",IF((#REF!+4)&lt;YEAR(#REF!),0,#REF!),0))</f>
        <v>#REF!</v>
      </c>
      <c r="CE221" s="7" t="e">
        <f>IF(#REF!="","",IF(AND(CD221&gt;0,#REF!&lt;&gt;""),CC221,0))</f>
        <v>#REF!</v>
      </c>
      <c r="CF221" s="7" t="e">
        <f>IF(#REF!="","",IF(AND($CE221&gt;0,#REF!= "GRENACHE N"),#REF!,0))</f>
        <v>#REF!</v>
      </c>
      <c r="CG221" s="7" t="e">
        <f>IF(#REF!="","",IF(AND($CE221&gt;0,#REF!="SYRAH N"),#REF!,0))</f>
        <v>#REF!</v>
      </c>
      <c r="CH221" s="7" t="e">
        <f>IF(#REF!="","",IF(AND($CE221&gt;0,#REF!="CINSAUT N"),#REF!,0))</f>
        <v>#REF!</v>
      </c>
      <c r="CI221" s="7" t="e">
        <f>IF(#REF!="","",IF(AND($CE221&gt;0,#REF!="TIBOUREN N"),#REF!,0))</f>
        <v>#REF!</v>
      </c>
      <c r="CJ221" s="7" t="e">
        <f>IF(#REF!="","",IF(AND($CE221&gt;0,#REF!="MOURVEDRE N"),#REF!,0))</f>
        <v>#REF!</v>
      </c>
      <c r="CK221" s="7" t="e">
        <f>IF(#REF!="","",IF(AND($CE221&gt;0,#REF!="CARIGNAN N"),#REF!,0))</f>
        <v>#REF!</v>
      </c>
      <c r="CL221" s="7" t="e">
        <f>IF(#REF!="","",IF(AND($CE221&gt;0,#REF!="CABERNET SAUVIGNON N"),#REF!,0))</f>
        <v>#REF!</v>
      </c>
      <c r="CM221" s="7" t="e">
        <f>IF(#REF!="","",IF(AND($CE221&gt;0,#REF!="VERMENTINO B"),#REF!,0))</f>
        <v>#REF!</v>
      </c>
      <c r="CN221" s="7" t="e">
        <f>IF(#REF!="","",IF(AND($CE221&gt;0,#REF!="UGNI BLANC B"),#REF!,0))</f>
        <v>#REF!</v>
      </c>
      <c r="CO221" s="7" t="e">
        <f>IF(#REF!="","",IF(AND($CE221&gt;0,#REF!="CLAIRETTE B"),#REF!,0))</f>
        <v>#REF!</v>
      </c>
      <c r="CP221" s="7" t="e">
        <f>IF(#REF!="","",IF(AND($CE221&gt;0,#REF!="semillon B"),#REF!,0))</f>
        <v>#REF!</v>
      </c>
      <c r="CQ221" s="7" t="e">
        <f>IF(#REF!="","",IF(CE221=0,CC221,0))</f>
        <v>#REF!</v>
      </c>
      <c r="CR221" s="17"/>
      <c r="DE221"/>
    </row>
    <row r="222" spans="81:109" x14ac:dyDescent="0.25">
      <c r="CC222" s="7" t="e">
        <f>IF(#REF!="","",IF(#REF!="PF",#REF!,0))</f>
        <v>#REF!</v>
      </c>
      <c r="CD222" s="7" t="e">
        <f>IF(#REF!="","",IF(#REF!="PF",IF((#REF!+4)&lt;YEAR(#REF!),0,#REF!),0))</f>
        <v>#REF!</v>
      </c>
      <c r="CE222" s="7" t="e">
        <f>IF(#REF!="","",IF(AND(CD222&gt;0,#REF!&lt;&gt;""),CC222,0))</f>
        <v>#REF!</v>
      </c>
      <c r="CF222" s="7" t="e">
        <f>IF(#REF!="","",IF(AND($CE222&gt;0,#REF!= "GRENACHE N"),#REF!,0))</f>
        <v>#REF!</v>
      </c>
      <c r="CG222" s="7" t="e">
        <f>IF(#REF!="","",IF(AND($CE222&gt;0,#REF!="SYRAH N"),#REF!,0))</f>
        <v>#REF!</v>
      </c>
      <c r="CH222" s="7" t="e">
        <f>IF(#REF!="","",IF(AND($CE222&gt;0,#REF!="CINSAUT N"),#REF!,0))</f>
        <v>#REF!</v>
      </c>
      <c r="CI222" s="7" t="e">
        <f>IF(#REF!="","",IF(AND($CE222&gt;0,#REF!="TIBOUREN N"),#REF!,0))</f>
        <v>#REF!</v>
      </c>
      <c r="CJ222" s="7" t="e">
        <f>IF(#REF!="","",IF(AND($CE222&gt;0,#REF!="MOURVEDRE N"),#REF!,0))</f>
        <v>#REF!</v>
      </c>
      <c r="CK222" s="7" t="e">
        <f>IF(#REF!="","",IF(AND($CE222&gt;0,#REF!="CARIGNAN N"),#REF!,0))</f>
        <v>#REF!</v>
      </c>
      <c r="CL222" s="7" t="e">
        <f>IF(#REF!="","",IF(AND($CE222&gt;0,#REF!="CABERNET SAUVIGNON N"),#REF!,0))</f>
        <v>#REF!</v>
      </c>
      <c r="CM222" s="7" t="e">
        <f>IF(#REF!="","",IF(AND($CE222&gt;0,#REF!="VERMENTINO B"),#REF!,0))</f>
        <v>#REF!</v>
      </c>
      <c r="CN222" s="7" t="e">
        <f>IF(#REF!="","",IF(AND($CE222&gt;0,#REF!="UGNI BLANC B"),#REF!,0))</f>
        <v>#REF!</v>
      </c>
      <c r="CO222" s="7" t="e">
        <f>IF(#REF!="","",IF(AND($CE222&gt;0,#REF!="CLAIRETTE B"),#REF!,0))</f>
        <v>#REF!</v>
      </c>
      <c r="CP222" s="7" t="e">
        <f>IF(#REF!="","",IF(AND($CE222&gt;0,#REF!="semillon B"),#REF!,0))</f>
        <v>#REF!</v>
      </c>
      <c r="CQ222" s="7" t="e">
        <f>IF(#REF!="","",IF(CE222=0,CC222,0))</f>
        <v>#REF!</v>
      </c>
      <c r="CR222" s="17"/>
      <c r="DE222"/>
    </row>
    <row r="223" spans="81:109" x14ac:dyDescent="0.25">
      <c r="CC223" s="7" t="e">
        <f>IF(#REF!="","",IF(#REF!="PF",#REF!,0))</f>
        <v>#REF!</v>
      </c>
      <c r="CD223" s="7" t="e">
        <f>IF(#REF!="","",IF(#REF!="PF",IF((#REF!+4)&lt;YEAR(#REF!),0,#REF!),0))</f>
        <v>#REF!</v>
      </c>
      <c r="CE223" s="7" t="e">
        <f>IF(#REF!="","",IF(AND(CD223&gt;0,#REF!&lt;&gt;""),CC223,0))</f>
        <v>#REF!</v>
      </c>
      <c r="CF223" s="7" t="e">
        <f>IF(#REF!="","",IF(AND($CE223&gt;0,#REF!= "GRENACHE N"),#REF!,0))</f>
        <v>#REF!</v>
      </c>
      <c r="CG223" s="7" t="e">
        <f>IF(#REF!="","",IF(AND($CE223&gt;0,#REF!="SYRAH N"),#REF!,0))</f>
        <v>#REF!</v>
      </c>
      <c r="CH223" s="7" t="e">
        <f>IF(#REF!="","",IF(AND($CE223&gt;0,#REF!="CINSAUT N"),#REF!,0))</f>
        <v>#REF!</v>
      </c>
      <c r="CI223" s="7" t="e">
        <f>IF(#REF!="","",IF(AND($CE223&gt;0,#REF!="TIBOUREN N"),#REF!,0))</f>
        <v>#REF!</v>
      </c>
      <c r="CJ223" s="7" t="e">
        <f>IF(#REF!="","",IF(AND($CE223&gt;0,#REF!="MOURVEDRE N"),#REF!,0))</f>
        <v>#REF!</v>
      </c>
      <c r="CK223" s="7" t="e">
        <f>IF(#REF!="","",IF(AND($CE223&gt;0,#REF!="CARIGNAN N"),#REF!,0))</f>
        <v>#REF!</v>
      </c>
      <c r="CL223" s="7" t="e">
        <f>IF(#REF!="","",IF(AND($CE223&gt;0,#REF!="CABERNET SAUVIGNON N"),#REF!,0))</f>
        <v>#REF!</v>
      </c>
      <c r="CM223" s="7" t="e">
        <f>IF(#REF!="","",IF(AND($CE223&gt;0,#REF!="VERMENTINO B"),#REF!,0))</f>
        <v>#REF!</v>
      </c>
      <c r="CN223" s="7" t="e">
        <f>IF(#REF!="","",IF(AND($CE223&gt;0,#REF!="UGNI BLANC B"),#REF!,0))</f>
        <v>#REF!</v>
      </c>
      <c r="CO223" s="7" t="e">
        <f>IF(#REF!="","",IF(AND($CE223&gt;0,#REF!="CLAIRETTE B"),#REF!,0))</f>
        <v>#REF!</v>
      </c>
      <c r="CP223" s="7" t="e">
        <f>IF(#REF!="","",IF(AND($CE223&gt;0,#REF!="semillon B"),#REF!,0))</f>
        <v>#REF!</v>
      </c>
      <c r="CQ223" s="7" t="e">
        <f>IF(#REF!="","",IF(CE223=0,CC223,0))</f>
        <v>#REF!</v>
      </c>
      <c r="CR223" s="17"/>
      <c r="DE223"/>
    </row>
    <row r="224" spans="81:109" x14ac:dyDescent="0.25">
      <c r="CC224" s="7" t="e">
        <f>IF(#REF!="","",IF(#REF!="PF",#REF!,0))</f>
        <v>#REF!</v>
      </c>
      <c r="CD224" s="7" t="e">
        <f>IF(#REF!="","",IF(#REF!="PF",IF((#REF!+4)&lt;YEAR(#REF!),0,#REF!),0))</f>
        <v>#REF!</v>
      </c>
      <c r="CE224" s="7" t="e">
        <f>IF(#REF!="","",IF(AND(CD224&gt;0,#REF!&lt;&gt;""),CC224,0))</f>
        <v>#REF!</v>
      </c>
      <c r="CF224" s="7" t="e">
        <f>IF(#REF!="","",IF(AND($CE224&gt;0,#REF!= "GRENACHE N"),#REF!,0))</f>
        <v>#REF!</v>
      </c>
      <c r="CG224" s="7" t="e">
        <f>IF(#REF!="","",IF(AND($CE224&gt;0,#REF!="SYRAH N"),#REF!,0))</f>
        <v>#REF!</v>
      </c>
      <c r="CH224" s="7" t="e">
        <f>IF(#REF!="","",IF(AND($CE224&gt;0,#REF!="CINSAUT N"),#REF!,0))</f>
        <v>#REF!</v>
      </c>
      <c r="CI224" s="7" t="e">
        <f>IF(#REF!="","",IF(AND($CE224&gt;0,#REF!="TIBOUREN N"),#REF!,0))</f>
        <v>#REF!</v>
      </c>
      <c r="CJ224" s="7" t="e">
        <f>IF(#REF!="","",IF(AND($CE224&gt;0,#REF!="MOURVEDRE N"),#REF!,0))</f>
        <v>#REF!</v>
      </c>
      <c r="CK224" s="7" t="e">
        <f>IF(#REF!="","",IF(AND($CE224&gt;0,#REF!="CARIGNAN N"),#REF!,0))</f>
        <v>#REF!</v>
      </c>
      <c r="CL224" s="7" t="e">
        <f>IF(#REF!="","",IF(AND($CE224&gt;0,#REF!="CABERNET SAUVIGNON N"),#REF!,0))</f>
        <v>#REF!</v>
      </c>
      <c r="CM224" s="7" t="e">
        <f>IF(#REF!="","",IF(AND($CE224&gt;0,#REF!="VERMENTINO B"),#REF!,0))</f>
        <v>#REF!</v>
      </c>
      <c r="CN224" s="7" t="e">
        <f>IF(#REF!="","",IF(AND($CE224&gt;0,#REF!="UGNI BLANC B"),#REF!,0))</f>
        <v>#REF!</v>
      </c>
      <c r="CO224" s="7" t="e">
        <f>IF(#REF!="","",IF(AND($CE224&gt;0,#REF!="CLAIRETTE B"),#REF!,0))</f>
        <v>#REF!</v>
      </c>
      <c r="CP224" s="7" t="e">
        <f>IF(#REF!="","",IF(AND($CE224&gt;0,#REF!="semillon B"),#REF!,0))</f>
        <v>#REF!</v>
      </c>
      <c r="CQ224" s="7" t="e">
        <f>IF(#REF!="","",IF(CE224=0,CC224,0))</f>
        <v>#REF!</v>
      </c>
      <c r="CR224" s="17"/>
      <c r="DE224"/>
    </row>
    <row r="225" spans="81:109" x14ac:dyDescent="0.25">
      <c r="CC225" s="7" t="e">
        <f>IF(#REF!="","",IF(#REF!="PF",#REF!,0))</f>
        <v>#REF!</v>
      </c>
      <c r="CD225" s="7" t="e">
        <f>IF(#REF!="","",IF(#REF!="PF",IF((#REF!+4)&lt;YEAR(#REF!),0,#REF!),0))</f>
        <v>#REF!</v>
      </c>
      <c r="CE225" s="7" t="e">
        <f>IF(#REF!="","",IF(AND(CD225&gt;0,#REF!&lt;&gt;""),CC225,0))</f>
        <v>#REF!</v>
      </c>
      <c r="CF225" s="7" t="e">
        <f>IF(#REF!="","",IF(AND($CE225&gt;0,#REF!= "GRENACHE N"),#REF!,0))</f>
        <v>#REF!</v>
      </c>
      <c r="CG225" s="7" t="e">
        <f>IF(#REF!="","",IF(AND($CE225&gt;0,#REF!="SYRAH N"),#REF!,0))</f>
        <v>#REF!</v>
      </c>
      <c r="CH225" s="7" t="e">
        <f>IF(#REF!="","",IF(AND($CE225&gt;0,#REF!="CINSAUT N"),#REF!,0))</f>
        <v>#REF!</v>
      </c>
      <c r="CI225" s="7" t="e">
        <f>IF(#REF!="","",IF(AND($CE225&gt;0,#REF!="TIBOUREN N"),#REF!,0))</f>
        <v>#REF!</v>
      </c>
      <c r="CJ225" s="7" t="e">
        <f>IF(#REF!="","",IF(AND($CE225&gt;0,#REF!="MOURVEDRE N"),#REF!,0))</f>
        <v>#REF!</v>
      </c>
      <c r="CK225" s="7" t="e">
        <f>IF(#REF!="","",IF(AND($CE225&gt;0,#REF!="CARIGNAN N"),#REF!,0))</f>
        <v>#REF!</v>
      </c>
      <c r="CL225" s="7" t="e">
        <f>IF(#REF!="","",IF(AND($CE225&gt;0,#REF!="CABERNET SAUVIGNON N"),#REF!,0))</f>
        <v>#REF!</v>
      </c>
      <c r="CM225" s="7" t="e">
        <f>IF(#REF!="","",IF(AND($CE225&gt;0,#REF!="VERMENTINO B"),#REF!,0))</f>
        <v>#REF!</v>
      </c>
      <c r="CN225" s="7" t="e">
        <f>IF(#REF!="","",IF(AND($CE225&gt;0,#REF!="UGNI BLANC B"),#REF!,0))</f>
        <v>#REF!</v>
      </c>
      <c r="CO225" s="7" t="e">
        <f>IF(#REF!="","",IF(AND($CE225&gt;0,#REF!="CLAIRETTE B"),#REF!,0))</f>
        <v>#REF!</v>
      </c>
      <c r="CP225" s="7" t="e">
        <f>IF(#REF!="","",IF(AND($CE225&gt;0,#REF!="semillon B"),#REF!,0))</f>
        <v>#REF!</v>
      </c>
      <c r="CQ225" s="7" t="e">
        <f>IF(#REF!="","",IF(CE225=0,CC225,0))</f>
        <v>#REF!</v>
      </c>
      <c r="CR225" s="17"/>
      <c r="DE225"/>
    </row>
    <row r="226" spans="81:109" x14ac:dyDescent="0.25">
      <c r="CC226" s="7" t="e">
        <f>IF(#REF!="","",IF(#REF!="PF",#REF!,0))</f>
        <v>#REF!</v>
      </c>
      <c r="CD226" s="7" t="e">
        <f>IF(#REF!="","",IF(#REF!="PF",IF((#REF!+4)&lt;YEAR(#REF!),0,#REF!),0))</f>
        <v>#REF!</v>
      </c>
      <c r="CE226" s="7" t="e">
        <f>IF(#REF!="","",IF(AND(CD226&gt;0,#REF!&lt;&gt;""),CC226,0))</f>
        <v>#REF!</v>
      </c>
      <c r="CF226" s="7" t="e">
        <f>IF(#REF!="","",IF(AND($CE226&gt;0,#REF!= "GRENACHE N"),#REF!,0))</f>
        <v>#REF!</v>
      </c>
      <c r="CG226" s="7" t="e">
        <f>IF(#REF!="","",IF(AND($CE226&gt;0,#REF!="SYRAH N"),#REF!,0))</f>
        <v>#REF!</v>
      </c>
      <c r="CH226" s="7" t="e">
        <f>IF(#REF!="","",IF(AND($CE226&gt;0,#REF!="CINSAUT N"),#REF!,0))</f>
        <v>#REF!</v>
      </c>
      <c r="CI226" s="7" t="e">
        <f>IF(#REF!="","",IF(AND($CE226&gt;0,#REF!="TIBOUREN N"),#REF!,0))</f>
        <v>#REF!</v>
      </c>
      <c r="CJ226" s="7" t="e">
        <f>IF(#REF!="","",IF(AND($CE226&gt;0,#REF!="MOURVEDRE N"),#REF!,0))</f>
        <v>#REF!</v>
      </c>
      <c r="CK226" s="7" t="e">
        <f>IF(#REF!="","",IF(AND($CE226&gt;0,#REF!="CARIGNAN N"),#REF!,0))</f>
        <v>#REF!</v>
      </c>
      <c r="CL226" s="7" t="e">
        <f>IF(#REF!="","",IF(AND($CE226&gt;0,#REF!="CABERNET SAUVIGNON N"),#REF!,0))</f>
        <v>#REF!</v>
      </c>
      <c r="CM226" s="7" t="e">
        <f>IF(#REF!="","",IF(AND($CE226&gt;0,#REF!="VERMENTINO B"),#REF!,0))</f>
        <v>#REF!</v>
      </c>
      <c r="CN226" s="7" t="e">
        <f>IF(#REF!="","",IF(AND($CE226&gt;0,#REF!="UGNI BLANC B"),#REF!,0))</f>
        <v>#REF!</v>
      </c>
      <c r="CO226" s="7" t="e">
        <f>IF(#REF!="","",IF(AND($CE226&gt;0,#REF!="CLAIRETTE B"),#REF!,0))</f>
        <v>#REF!</v>
      </c>
      <c r="CP226" s="7" t="e">
        <f>IF(#REF!="","",IF(AND($CE226&gt;0,#REF!="semillon B"),#REF!,0))</f>
        <v>#REF!</v>
      </c>
      <c r="CQ226" s="7" t="e">
        <f>IF(#REF!="","",IF(CE226=0,CC226,0))</f>
        <v>#REF!</v>
      </c>
      <c r="CR226" s="17"/>
      <c r="DE226"/>
    </row>
    <row r="227" spans="81:109" x14ac:dyDescent="0.25">
      <c r="CC227" s="7" t="e">
        <f>IF(#REF!="","",IF(#REF!="PF",#REF!,0))</f>
        <v>#REF!</v>
      </c>
      <c r="CD227" s="7" t="e">
        <f>IF(#REF!="","",IF(#REF!="PF",IF((#REF!+4)&lt;YEAR(#REF!),0,#REF!),0))</f>
        <v>#REF!</v>
      </c>
      <c r="CE227" s="7" t="e">
        <f>IF(#REF!="","",IF(AND(CD227&gt;0,#REF!&lt;&gt;""),CC227,0))</f>
        <v>#REF!</v>
      </c>
      <c r="CF227" s="7" t="e">
        <f>IF(#REF!="","",IF(AND($CE227&gt;0,#REF!= "GRENACHE N"),#REF!,0))</f>
        <v>#REF!</v>
      </c>
      <c r="CG227" s="7" t="e">
        <f>IF(#REF!="","",IF(AND($CE227&gt;0,#REF!="SYRAH N"),#REF!,0))</f>
        <v>#REF!</v>
      </c>
      <c r="CH227" s="7" t="e">
        <f>IF(#REF!="","",IF(AND($CE227&gt;0,#REF!="CINSAUT N"),#REF!,0))</f>
        <v>#REF!</v>
      </c>
      <c r="CI227" s="7" t="e">
        <f>IF(#REF!="","",IF(AND($CE227&gt;0,#REF!="TIBOUREN N"),#REF!,0))</f>
        <v>#REF!</v>
      </c>
      <c r="CJ227" s="7" t="e">
        <f>IF(#REF!="","",IF(AND($CE227&gt;0,#REF!="MOURVEDRE N"),#REF!,0))</f>
        <v>#REF!</v>
      </c>
      <c r="CK227" s="7" t="e">
        <f>IF(#REF!="","",IF(AND($CE227&gt;0,#REF!="CARIGNAN N"),#REF!,0))</f>
        <v>#REF!</v>
      </c>
      <c r="CL227" s="7" t="e">
        <f>IF(#REF!="","",IF(AND($CE227&gt;0,#REF!="CABERNET SAUVIGNON N"),#REF!,0))</f>
        <v>#REF!</v>
      </c>
      <c r="CM227" s="7" t="e">
        <f>IF(#REF!="","",IF(AND($CE227&gt;0,#REF!="VERMENTINO B"),#REF!,0))</f>
        <v>#REF!</v>
      </c>
      <c r="CN227" s="7" t="e">
        <f>IF(#REF!="","",IF(AND($CE227&gt;0,#REF!="UGNI BLANC B"),#REF!,0))</f>
        <v>#REF!</v>
      </c>
      <c r="CO227" s="7" t="e">
        <f>IF(#REF!="","",IF(AND($CE227&gt;0,#REF!="CLAIRETTE B"),#REF!,0))</f>
        <v>#REF!</v>
      </c>
      <c r="CP227" s="7" t="e">
        <f>IF(#REF!="","",IF(AND($CE227&gt;0,#REF!="semillon B"),#REF!,0))</f>
        <v>#REF!</v>
      </c>
      <c r="CQ227" s="7" t="e">
        <f>IF(#REF!="","",IF(CE227=0,CC227,0))</f>
        <v>#REF!</v>
      </c>
      <c r="CR227" s="17"/>
      <c r="DE227"/>
    </row>
    <row r="228" spans="81:109" x14ac:dyDescent="0.25">
      <c r="CC228" s="7" t="e">
        <f>IF(#REF!="","",IF(#REF!="PF",#REF!,0))</f>
        <v>#REF!</v>
      </c>
      <c r="CD228" s="7" t="e">
        <f>IF(#REF!="","",IF(#REF!="PF",IF((#REF!+4)&lt;YEAR(#REF!),0,#REF!),0))</f>
        <v>#REF!</v>
      </c>
      <c r="CE228" s="7" t="e">
        <f>IF(#REF!="","",IF(AND(CD228&gt;0,#REF!&lt;&gt;""),CC228,0))</f>
        <v>#REF!</v>
      </c>
      <c r="CF228" s="7" t="e">
        <f>IF(#REF!="","",IF(AND($CE228&gt;0,#REF!= "GRENACHE N"),#REF!,0))</f>
        <v>#REF!</v>
      </c>
      <c r="CG228" s="7" t="e">
        <f>IF(#REF!="","",IF(AND($CE228&gt;0,#REF!="SYRAH N"),#REF!,0))</f>
        <v>#REF!</v>
      </c>
      <c r="CH228" s="7" t="e">
        <f>IF(#REF!="","",IF(AND($CE228&gt;0,#REF!="CINSAUT N"),#REF!,0))</f>
        <v>#REF!</v>
      </c>
      <c r="CI228" s="7" t="e">
        <f>IF(#REF!="","",IF(AND($CE228&gt;0,#REF!="TIBOUREN N"),#REF!,0))</f>
        <v>#REF!</v>
      </c>
      <c r="CJ228" s="7" t="e">
        <f>IF(#REF!="","",IF(AND($CE228&gt;0,#REF!="MOURVEDRE N"),#REF!,0))</f>
        <v>#REF!</v>
      </c>
      <c r="CK228" s="7" t="e">
        <f>IF(#REF!="","",IF(AND($CE228&gt;0,#REF!="CARIGNAN N"),#REF!,0))</f>
        <v>#REF!</v>
      </c>
      <c r="CL228" s="7" t="e">
        <f>IF(#REF!="","",IF(AND($CE228&gt;0,#REF!="CABERNET SAUVIGNON N"),#REF!,0))</f>
        <v>#REF!</v>
      </c>
      <c r="CM228" s="7" t="e">
        <f>IF(#REF!="","",IF(AND($CE228&gt;0,#REF!="VERMENTINO B"),#REF!,0))</f>
        <v>#REF!</v>
      </c>
      <c r="CN228" s="7" t="e">
        <f>IF(#REF!="","",IF(AND($CE228&gt;0,#REF!="UGNI BLANC B"),#REF!,0))</f>
        <v>#REF!</v>
      </c>
      <c r="CO228" s="7" t="e">
        <f>IF(#REF!="","",IF(AND($CE228&gt;0,#REF!="CLAIRETTE B"),#REF!,0))</f>
        <v>#REF!</v>
      </c>
      <c r="CP228" s="7" t="e">
        <f>IF(#REF!="","",IF(AND($CE228&gt;0,#REF!="semillon B"),#REF!,0))</f>
        <v>#REF!</v>
      </c>
      <c r="CQ228" s="7" t="e">
        <f>IF(#REF!="","",IF(CE228=0,CC228,0))</f>
        <v>#REF!</v>
      </c>
      <c r="CR228" s="17"/>
      <c r="DE228"/>
    </row>
    <row r="229" spans="81:109" x14ac:dyDescent="0.25">
      <c r="CC229" s="7" t="e">
        <f>IF(#REF!="","",IF(#REF!="PF",#REF!,0))</f>
        <v>#REF!</v>
      </c>
      <c r="CD229" s="7" t="e">
        <f>IF(#REF!="","",IF(#REF!="PF",IF((#REF!+4)&lt;YEAR(#REF!),0,#REF!),0))</f>
        <v>#REF!</v>
      </c>
      <c r="CE229" s="7" t="e">
        <f>IF(#REF!="","",IF(AND(CD229&gt;0,#REF!&lt;&gt;""),CC229,0))</f>
        <v>#REF!</v>
      </c>
      <c r="CF229" s="7" t="e">
        <f>IF(#REF!="","",IF(AND($CE229&gt;0,#REF!= "GRENACHE N"),#REF!,0))</f>
        <v>#REF!</v>
      </c>
      <c r="CG229" s="7" t="e">
        <f>IF(#REF!="","",IF(AND($CE229&gt;0,#REF!="SYRAH N"),#REF!,0))</f>
        <v>#REF!</v>
      </c>
      <c r="CH229" s="7" t="e">
        <f>IF(#REF!="","",IF(AND($CE229&gt;0,#REF!="CINSAUT N"),#REF!,0))</f>
        <v>#REF!</v>
      </c>
      <c r="CI229" s="7" t="e">
        <f>IF(#REF!="","",IF(AND($CE229&gt;0,#REF!="TIBOUREN N"),#REF!,0))</f>
        <v>#REF!</v>
      </c>
      <c r="CJ229" s="7" t="e">
        <f>IF(#REF!="","",IF(AND($CE229&gt;0,#REF!="MOURVEDRE N"),#REF!,0))</f>
        <v>#REF!</v>
      </c>
      <c r="CK229" s="7" t="e">
        <f>IF(#REF!="","",IF(AND($CE229&gt;0,#REF!="CARIGNAN N"),#REF!,0))</f>
        <v>#REF!</v>
      </c>
      <c r="CL229" s="7" t="e">
        <f>IF(#REF!="","",IF(AND($CE229&gt;0,#REF!="CABERNET SAUVIGNON N"),#REF!,0))</f>
        <v>#REF!</v>
      </c>
      <c r="CM229" s="7" t="e">
        <f>IF(#REF!="","",IF(AND($CE229&gt;0,#REF!="VERMENTINO B"),#REF!,0))</f>
        <v>#REF!</v>
      </c>
      <c r="CN229" s="7" t="e">
        <f>IF(#REF!="","",IF(AND($CE229&gt;0,#REF!="UGNI BLANC B"),#REF!,0))</f>
        <v>#REF!</v>
      </c>
      <c r="CO229" s="7" t="e">
        <f>IF(#REF!="","",IF(AND($CE229&gt;0,#REF!="CLAIRETTE B"),#REF!,0))</f>
        <v>#REF!</v>
      </c>
      <c r="CP229" s="7" t="e">
        <f>IF(#REF!="","",IF(AND($CE229&gt;0,#REF!="semillon B"),#REF!,0))</f>
        <v>#REF!</v>
      </c>
      <c r="CQ229" s="7" t="e">
        <f>IF(#REF!="","",IF(CE229=0,CC229,0))</f>
        <v>#REF!</v>
      </c>
      <c r="CR229" s="17"/>
      <c r="DE229"/>
    </row>
    <row r="230" spans="81:109" x14ac:dyDescent="0.25">
      <c r="CC230" s="7" t="e">
        <f>IF(#REF!="","",IF(#REF!="PF",#REF!,0))</f>
        <v>#REF!</v>
      </c>
      <c r="CD230" s="7" t="e">
        <f>IF(#REF!="","",IF(#REF!="PF",IF((#REF!+4)&lt;YEAR(#REF!),0,#REF!),0))</f>
        <v>#REF!</v>
      </c>
      <c r="CE230" s="7" t="e">
        <f>IF(#REF!="","",IF(AND(CD230&gt;0,#REF!&lt;&gt;""),CC230,0))</f>
        <v>#REF!</v>
      </c>
      <c r="CF230" s="7" t="e">
        <f>IF(#REF!="","",IF(AND($CE230&gt;0,#REF!= "GRENACHE N"),#REF!,0))</f>
        <v>#REF!</v>
      </c>
      <c r="CG230" s="7" t="e">
        <f>IF(#REF!="","",IF(AND($CE230&gt;0,#REF!="SYRAH N"),#REF!,0))</f>
        <v>#REF!</v>
      </c>
      <c r="CH230" s="7" t="e">
        <f>IF(#REF!="","",IF(AND($CE230&gt;0,#REF!="CINSAUT N"),#REF!,0))</f>
        <v>#REF!</v>
      </c>
      <c r="CI230" s="7" t="e">
        <f>IF(#REF!="","",IF(AND($CE230&gt;0,#REF!="TIBOUREN N"),#REF!,0))</f>
        <v>#REF!</v>
      </c>
      <c r="CJ230" s="7" t="e">
        <f>IF(#REF!="","",IF(AND($CE230&gt;0,#REF!="MOURVEDRE N"),#REF!,0))</f>
        <v>#REF!</v>
      </c>
      <c r="CK230" s="7" t="e">
        <f>IF(#REF!="","",IF(AND($CE230&gt;0,#REF!="CARIGNAN N"),#REF!,0))</f>
        <v>#REF!</v>
      </c>
      <c r="CL230" s="7" t="e">
        <f>IF(#REF!="","",IF(AND($CE230&gt;0,#REF!="CABERNET SAUVIGNON N"),#REF!,0))</f>
        <v>#REF!</v>
      </c>
      <c r="CM230" s="7" t="e">
        <f>IF(#REF!="","",IF(AND($CE230&gt;0,#REF!="VERMENTINO B"),#REF!,0))</f>
        <v>#REF!</v>
      </c>
      <c r="CN230" s="7" t="e">
        <f>IF(#REF!="","",IF(AND($CE230&gt;0,#REF!="UGNI BLANC B"),#REF!,0))</f>
        <v>#REF!</v>
      </c>
      <c r="CO230" s="7" t="e">
        <f>IF(#REF!="","",IF(AND($CE230&gt;0,#REF!="CLAIRETTE B"),#REF!,0))</f>
        <v>#REF!</v>
      </c>
      <c r="CP230" s="7" t="e">
        <f>IF(#REF!="","",IF(AND($CE230&gt;0,#REF!="semillon B"),#REF!,0))</f>
        <v>#REF!</v>
      </c>
      <c r="CQ230" s="7" t="e">
        <f>IF(#REF!="","",IF(CE230=0,CC230,0))</f>
        <v>#REF!</v>
      </c>
      <c r="CR230" s="17"/>
      <c r="DE230"/>
    </row>
    <row r="231" spans="81:109" x14ac:dyDescent="0.25">
      <c r="CC231" s="7" t="e">
        <f>IF(#REF!="","",IF(#REF!="PF",#REF!,0))</f>
        <v>#REF!</v>
      </c>
      <c r="CD231" s="7" t="e">
        <f>IF(#REF!="","",IF(#REF!="PF",IF((#REF!+4)&lt;YEAR(#REF!),0,#REF!),0))</f>
        <v>#REF!</v>
      </c>
      <c r="CE231" s="7" t="e">
        <f>IF(#REF!="","",IF(AND(CD231&gt;0,#REF!&lt;&gt;""),CC231,0))</f>
        <v>#REF!</v>
      </c>
      <c r="CF231" s="7" t="e">
        <f>IF(#REF!="","",IF(AND($CE231&gt;0,#REF!= "GRENACHE N"),#REF!,0))</f>
        <v>#REF!</v>
      </c>
      <c r="CG231" s="7" t="e">
        <f>IF(#REF!="","",IF(AND($CE231&gt;0,#REF!="SYRAH N"),#REF!,0))</f>
        <v>#REF!</v>
      </c>
      <c r="CH231" s="7" t="e">
        <f>IF(#REF!="","",IF(AND($CE231&gt;0,#REF!="CINSAUT N"),#REF!,0))</f>
        <v>#REF!</v>
      </c>
      <c r="CI231" s="7" t="e">
        <f>IF(#REF!="","",IF(AND($CE231&gt;0,#REF!="TIBOUREN N"),#REF!,0))</f>
        <v>#REF!</v>
      </c>
      <c r="CJ231" s="7" t="e">
        <f>IF(#REF!="","",IF(AND($CE231&gt;0,#REF!="MOURVEDRE N"),#REF!,0))</f>
        <v>#REF!</v>
      </c>
      <c r="CK231" s="7" t="e">
        <f>IF(#REF!="","",IF(AND($CE231&gt;0,#REF!="CARIGNAN N"),#REF!,0))</f>
        <v>#REF!</v>
      </c>
      <c r="CL231" s="7" t="e">
        <f>IF(#REF!="","",IF(AND($CE231&gt;0,#REF!="CABERNET SAUVIGNON N"),#REF!,0))</f>
        <v>#REF!</v>
      </c>
      <c r="CM231" s="7" t="e">
        <f>IF(#REF!="","",IF(AND($CE231&gt;0,#REF!="VERMENTINO B"),#REF!,0))</f>
        <v>#REF!</v>
      </c>
      <c r="CN231" s="7" t="e">
        <f>IF(#REF!="","",IF(AND($CE231&gt;0,#REF!="UGNI BLANC B"),#REF!,0))</f>
        <v>#REF!</v>
      </c>
      <c r="CO231" s="7" t="e">
        <f>IF(#REF!="","",IF(AND($CE231&gt;0,#REF!="CLAIRETTE B"),#REF!,0))</f>
        <v>#REF!</v>
      </c>
      <c r="CP231" s="7" t="e">
        <f>IF(#REF!="","",IF(AND($CE231&gt;0,#REF!="semillon B"),#REF!,0))</f>
        <v>#REF!</v>
      </c>
      <c r="CQ231" s="7" t="e">
        <f>IF(#REF!="","",IF(CE231=0,CC231,0))</f>
        <v>#REF!</v>
      </c>
      <c r="CR231" s="17"/>
      <c r="DE231"/>
    </row>
    <row r="232" spans="81:109" x14ac:dyDescent="0.25">
      <c r="CC232" s="7" t="e">
        <f>IF(#REF!="","",IF(#REF!="PF",#REF!,0))</f>
        <v>#REF!</v>
      </c>
      <c r="CD232" s="7" t="e">
        <f>IF(#REF!="","",IF(#REF!="PF",IF((#REF!+4)&lt;YEAR(#REF!),0,#REF!),0))</f>
        <v>#REF!</v>
      </c>
      <c r="CE232" s="7" t="e">
        <f>IF(#REF!="","",IF(AND(CD232&gt;0,#REF!&lt;&gt;""),CC232,0))</f>
        <v>#REF!</v>
      </c>
      <c r="CF232" s="7" t="e">
        <f>IF(#REF!="","",IF(AND($CE232&gt;0,#REF!= "GRENACHE N"),#REF!,0))</f>
        <v>#REF!</v>
      </c>
      <c r="CG232" s="7" t="e">
        <f>IF(#REF!="","",IF(AND($CE232&gt;0,#REF!="SYRAH N"),#REF!,0))</f>
        <v>#REF!</v>
      </c>
      <c r="CH232" s="7" t="e">
        <f>IF(#REF!="","",IF(AND($CE232&gt;0,#REF!="CINSAUT N"),#REF!,0))</f>
        <v>#REF!</v>
      </c>
      <c r="CI232" s="7" t="e">
        <f>IF(#REF!="","",IF(AND($CE232&gt;0,#REF!="TIBOUREN N"),#REF!,0))</f>
        <v>#REF!</v>
      </c>
      <c r="CJ232" s="7" t="e">
        <f>IF(#REF!="","",IF(AND($CE232&gt;0,#REF!="MOURVEDRE N"),#REF!,0))</f>
        <v>#REF!</v>
      </c>
      <c r="CK232" s="7" t="e">
        <f>IF(#REF!="","",IF(AND($CE232&gt;0,#REF!="CARIGNAN N"),#REF!,0))</f>
        <v>#REF!</v>
      </c>
      <c r="CL232" s="7" t="e">
        <f>IF(#REF!="","",IF(AND($CE232&gt;0,#REF!="CABERNET SAUVIGNON N"),#REF!,0))</f>
        <v>#REF!</v>
      </c>
      <c r="CM232" s="7" t="e">
        <f>IF(#REF!="","",IF(AND($CE232&gt;0,#REF!="VERMENTINO B"),#REF!,0))</f>
        <v>#REF!</v>
      </c>
      <c r="CN232" s="7" t="e">
        <f>IF(#REF!="","",IF(AND($CE232&gt;0,#REF!="UGNI BLANC B"),#REF!,0))</f>
        <v>#REF!</v>
      </c>
      <c r="CO232" s="7" t="e">
        <f>IF(#REF!="","",IF(AND($CE232&gt;0,#REF!="CLAIRETTE B"),#REF!,0))</f>
        <v>#REF!</v>
      </c>
      <c r="CP232" s="7" t="e">
        <f>IF(#REF!="","",IF(AND($CE232&gt;0,#REF!="semillon B"),#REF!,0))</f>
        <v>#REF!</v>
      </c>
      <c r="CQ232" s="7" t="e">
        <f>IF(#REF!="","",IF(CE232=0,CC232,0))</f>
        <v>#REF!</v>
      </c>
      <c r="CR232" s="17"/>
      <c r="DE232"/>
    </row>
    <row r="233" spans="81:109" x14ac:dyDescent="0.25">
      <c r="CC233" s="7" t="e">
        <f>IF(#REF!="","",IF(#REF!="PF",#REF!,0))</f>
        <v>#REF!</v>
      </c>
      <c r="CD233" s="7" t="e">
        <f>IF(#REF!="","",IF(#REF!="PF",IF((#REF!+4)&lt;YEAR(#REF!),0,#REF!),0))</f>
        <v>#REF!</v>
      </c>
      <c r="CE233" s="7" t="e">
        <f>IF(#REF!="","",IF(AND(CD233&gt;0,#REF!&lt;&gt;""),CC233,0))</f>
        <v>#REF!</v>
      </c>
      <c r="CF233" s="7" t="e">
        <f>IF(#REF!="","",IF(AND($CE233&gt;0,#REF!= "GRENACHE N"),#REF!,0))</f>
        <v>#REF!</v>
      </c>
      <c r="CG233" s="7" t="e">
        <f>IF(#REF!="","",IF(AND($CE233&gt;0,#REF!="SYRAH N"),#REF!,0))</f>
        <v>#REF!</v>
      </c>
      <c r="CH233" s="7" t="e">
        <f>IF(#REF!="","",IF(AND($CE233&gt;0,#REF!="CINSAUT N"),#REF!,0))</f>
        <v>#REF!</v>
      </c>
      <c r="CI233" s="7" t="e">
        <f>IF(#REF!="","",IF(AND($CE233&gt;0,#REF!="TIBOUREN N"),#REF!,0))</f>
        <v>#REF!</v>
      </c>
      <c r="CJ233" s="7" t="e">
        <f>IF(#REF!="","",IF(AND($CE233&gt;0,#REF!="MOURVEDRE N"),#REF!,0))</f>
        <v>#REF!</v>
      </c>
      <c r="CK233" s="7" t="e">
        <f>IF(#REF!="","",IF(AND($CE233&gt;0,#REF!="CARIGNAN N"),#REF!,0))</f>
        <v>#REF!</v>
      </c>
      <c r="CL233" s="7" t="e">
        <f>IF(#REF!="","",IF(AND($CE233&gt;0,#REF!="CABERNET SAUVIGNON N"),#REF!,0))</f>
        <v>#REF!</v>
      </c>
      <c r="CM233" s="7" t="e">
        <f>IF(#REF!="","",IF(AND($CE233&gt;0,#REF!="VERMENTINO B"),#REF!,0))</f>
        <v>#REF!</v>
      </c>
      <c r="CN233" s="7" t="e">
        <f>IF(#REF!="","",IF(AND($CE233&gt;0,#REF!="UGNI BLANC B"),#REF!,0))</f>
        <v>#REF!</v>
      </c>
      <c r="CO233" s="7" t="e">
        <f>IF(#REF!="","",IF(AND($CE233&gt;0,#REF!="CLAIRETTE B"),#REF!,0))</f>
        <v>#REF!</v>
      </c>
      <c r="CP233" s="7" t="e">
        <f>IF(#REF!="","",IF(AND($CE233&gt;0,#REF!="semillon B"),#REF!,0))</f>
        <v>#REF!</v>
      </c>
      <c r="CQ233" s="7" t="e">
        <f>IF(#REF!="","",IF(CE233=0,CC233,0))</f>
        <v>#REF!</v>
      </c>
      <c r="CR233" s="17"/>
      <c r="DE233"/>
    </row>
    <row r="234" spans="81:109" x14ac:dyDescent="0.25">
      <c r="CC234" s="7" t="e">
        <f>IF(#REF!="","",IF(#REF!="PF",#REF!,0))</f>
        <v>#REF!</v>
      </c>
      <c r="CD234" s="7" t="e">
        <f>IF(#REF!="","",IF(#REF!="PF",IF((#REF!+4)&lt;YEAR(#REF!),0,#REF!),0))</f>
        <v>#REF!</v>
      </c>
      <c r="CE234" s="7" t="e">
        <f>IF(#REF!="","",IF(AND(CD234&gt;0,#REF!&lt;&gt;""),CC234,0))</f>
        <v>#REF!</v>
      </c>
      <c r="CF234" s="7" t="e">
        <f>IF(#REF!="","",IF(AND($CE234&gt;0,#REF!= "GRENACHE N"),#REF!,0))</f>
        <v>#REF!</v>
      </c>
      <c r="CG234" s="7" t="e">
        <f>IF(#REF!="","",IF(AND($CE234&gt;0,#REF!="SYRAH N"),#REF!,0))</f>
        <v>#REF!</v>
      </c>
      <c r="CH234" s="7" t="e">
        <f>IF(#REF!="","",IF(AND($CE234&gt;0,#REF!="CINSAUT N"),#REF!,0))</f>
        <v>#REF!</v>
      </c>
      <c r="CI234" s="7" t="e">
        <f>IF(#REF!="","",IF(AND($CE234&gt;0,#REF!="TIBOUREN N"),#REF!,0))</f>
        <v>#REF!</v>
      </c>
      <c r="CJ234" s="7" t="e">
        <f>IF(#REF!="","",IF(AND($CE234&gt;0,#REF!="MOURVEDRE N"),#REF!,0))</f>
        <v>#REF!</v>
      </c>
      <c r="CK234" s="7" t="e">
        <f>IF(#REF!="","",IF(AND($CE234&gt;0,#REF!="CARIGNAN N"),#REF!,0))</f>
        <v>#REF!</v>
      </c>
      <c r="CL234" s="7" t="e">
        <f>IF(#REF!="","",IF(AND($CE234&gt;0,#REF!="CABERNET SAUVIGNON N"),#REF!,0))</f>
        <v>#REF!</v>
      </c>
      <c r="CM234" s="7" t="e">
        <f>IF(#REF!="","",IF(AND($CE234&gt;0,#REF!="VERMENTINO B"),#REF!,0))</f>
        <v>#REF!</v>
      </c>
      <c r="CN234" s="7" t="e">
        <f>IF(#REF!="","",IF(AND($CE234&gt;0,#REF!="UGNI BLANC B"),#REF!,0))</f>
        <v>#REF!</v>
      </c>
      <c r="CO234" s="7" t="e">
        <f>IF(#REF!="","",IF(AND($CE234&gt;0,#REF!="CLAIRETTE B"),#REF!,0))</f>
        <v>#REF!</v>
      </c>
      <c r="CP234" s="7" t="e">
        <f>IF(#REF!="","",IF(AND($CE234&gt;0,#REF!="semillon B"),#REF!,0))</f>
        <v>#REF!</v>
      </c>
      <c r="CQ234" s="7" t="e">
        <f>IF(#REF!="","",IF(CE234=0,CC234,0))</f>
        <v>#REF!</v>
      </c>
      <c r="CR234" s="17"/>
      <c r="DE234"/>
    </row>
    <row r="235" spans="81:109" x14ac:dyDescent="0.25">
      <c r="CC235" s="7" t="e">
        <f>IF(#REF!="","",IF(#REF!="PF",#REF!,0))</f>
        <v>#REF!</v>
      </c>
      <c r="CD235" s="7" t="e">
        <f>IF(#REF!="","",IF(#REF!="PF",IF((#REF!+4)&lt;YEAR(#REF!),0,#REF!),0))</f>
        <v>#REF!</v>
      </c>
      <c r="CE235" s="7" t="e">
        <f>IF(#REF!="","",IF(AND(CD235&gt;0,#REF!&lt;&gt;""),CC235,0))</f>
        <v>#REF!</v>
      </c>
      <c r="CF235" s="7" t="e">
        <f>IF(#REF!="","",IF(AND($CE235&gt;0,#REF!= "GRENACHE N"),#REF!,0))</f>
        <v>#REF!</v>
      </c>
      <c r="CG235" s="7" t="e">
        <f>IF(#REF!="","",IF(AND($CE235&gt;0,#REF!="SYRAH N"),#REF!,0))</f>
        <v>#REF!</v>
      </c>
      <c r="CH235" s="7" t="e">
        <f>IF(#REF!="","",IF(AND($CE235&gt;0,#REF!="CINSAUT N"),#REF!,0))</f>
        <v>#REF!</v>
      </c>
      <c r="CI235" s="7" t="e">
        <f>IF(#REF!="","",IF(AND($CE235&gt;0,#REF!="TIBOUREN N"),#REF!,0))</f>
        <v>#REF!</v>
      </c>
      <c r="CJ235" s="7" t="e">
        <f>IF(#REF!="","",IF(AND($CE235&gt;0,#REF!="MOURVEDRE N"),#REF!,0))</f>
        <v>#REF!</v>
      </c>
      <c r="CK235" s="7" t="e">
        <f>IF(#REF!="","",IF(AND($CE235&gt;0,#REF!="CARIGNAN N"),#REF!,0))</f>
        <v>#REF!</v>
      </c>
      <c r="CL235" s="7" t="e">
        <f>IF(#REF!="","",IF(AND($CE235&gt;0,#REF!="CABERNET SAUVIGNON N"),#REF!,0))</f>
        <v>#REF!</v>
      </c>
      <c r="CM235" s="7" t="e">
        <f>IF(#REF!="","",IF(AND($CE235&gt;0,#REF!="VERMENTINO B"),#REF!,0))</f>
        <v>#REF!</v>
      </c>
      <c r="CN235" s="7" t="e">
        <f>IF(#REF!="","",IF(AND($CE235&gt;0,#REF!="UGNI BLANC B"),#REF!,0))</f>
        <v>#REF!</v>
      </c>
      <c r="CO235" s="7" t="e">
        <f>IF(#REF!="","",IF(AND($CE235&gt;0,#REF!="CLAIRETTE B"),#REF!,0))</f>
        <v>#REF!</v>
      </c>
      <c r="CP235" s="7" t="e">
        <f>IF(#REF!="","",IF(AND($CE235&gt;0,#REF!="semillon B"),#REF!,0))</f>
        <v>#REF!</v>
      </c>
      <c r="CQ235" s="7" t="e">
        <f>IF(#REF!="","",IF(CE235=0,CC235,0))</f>
        <v>#REF!</v>
      </c>
      <c r="CR235" s="17"/>
      <c r="DE235"/>
    </row>
    <row r="236" spans="81:109" x14ac:dyDescent="0.25">
      <c r="CC236" s="7" t="e">
        <f>IF(#REF!="","",IF(#REF!="PF",#REF!,0))</f>
        <v>#REF!</v>
      </c>
      <c r="CD236" s="7" t="e">
        <f>IF(#REF!="","",IF(#REF!="PF",IF((#REF!+4)&lt;YEAR(#REF!),0,#REF!),0))</f>
        <v>#REF!</v>
      </c>
      <c r="CE236" s="7" t="e">
        <f>IF(#REF!="","",IF(AND(CD236&gt;0,#REF!&lt;&gt;""),CC236,0))</f>
        <v>#REF!</v>
      </c>
      <c r="CF236" s="7" t="e">
        <f>IF(#REF!="","",IF(AND($CE236&gt;0,#REF!= "GRENACHE N"),#REF!,0))</f>
        <v>#REF!</v>
      </c>
      <c r="CG236" s="7" t="e">
        <f>IF(#REF!="","",IF(AND($CE236&gt;0,#REF!="SYRAH N"),#REF!,0))</f>
        <v>#REF!</v>
      </c>
      <c r="CH236" s="7" t="e">
        <f>IF(#REF!="","",IF(AND($CE236&gt;0,#REF!="CINSAUT N"),#REF!,0))</f>
        <v>#REF!</v>
      </c>
      <c r="CI236" s="7" t="e">
        <f>IF(#REF!="","",IF(AND($CE236&gt;0,#REF!="TIBOUREN N"),#REF!,0))</f>
        <v>#REF!</v>
      </c>
      <c r="CJ236" s="7" t="e">
        <f>IF(#REF!="","",IF(AND($CE236&gt;0,#REF!="MOURVEDRE N"),#REF!,0))</f>
        <v>#REF!</v>
      </c>
      <c r="CK236" s="7" t="e">
        <f>IF(#REF!="","",IF(AND($CE236&gt;0,#REF!="CARIGNAN N"),#REF!,0))</f>
        <v>#REF!</v>
      </c>
      <c r="CL236" s="7" t="e">
        <f>IF(#REF!="","",IF(AND($CE236&gt;0,#REF!="CABERNET SAUVIGNON N"),#REF!,0))</f>
        <v>#REF!</v>
      </c>
      <c r="CM236" s="7" t="e">
        <f>IF(#REF!="","",IF(AND($CE236&gt;0,#REF!="VERMENTINO B"),#REF!,0))</f>
        <v>#REF!</v>
      </c>
      <c r="CN236" s="7" t="e">
        <f>IF(#REF!="","",IF(AND($CE236&gt;0,#REF!="UGNI BLANC B"),#REF!,0))</f>
        <v>#REF!</v>
      </c>
      <c r="CO236" s="7" t="e">
        <f>IF(#REF!="","",IF(AND($CE236&gt;0,#REF!="CLAIRETTE B"),#REF!,0))</f>
        <v>#REF!</v>
      </c>
      <c r="CP236" s="7" t="e">
        <f>IF(#REF!="","",IF(AND($CE236&gt;0,#REF!="semillon B"),#REF!,0))</f>
        <v>#REF!</v>
      </c>
      <c r="CQ236" s="7" t="e">
        <f>IF(#REF!="","",IF(CE236=0,CC236,0))</f>
        <v>#REF!</v>
      </c>
      <c r="CR236" s="17"/>
      <c r="DE236"/>
    </row>
    <row r="237" spans="81:109" x14ac:dyDescent="0.25">
      <c r="CC237" s="7" t="e">
        <f>IF(#REF!="","",IF(#REF!="PF",#REF!,0))</f>
        <v>#REF!</v>
      </c>
      <c r="CD237" s="7" t="e">
        <f>IF(#REF!="","",IF(#REF!="PF",IF((#REF!+4)&lt;YEAR(#REF!),0,#REF!),0))</f>
        <v>#REF!</v>
      </c>
      <c r="CE237" s="7" t="e">
        <f>IF(#REF!="","",IF(AND(CD237&gt;0,#REF!&lt;&gt;""),CC237,0))</f>
        <v>#REF!</v>
      </c>
      <c r="CF237" s="7" t="e">
        <f>IF(#REF!="","",IF(AND($CE237&gt;0,#REF!= "GRENACHE N"),#REF!,0))</f>
        <v>#REF!</v>
      </c>
      <c r="CG237" s="7" t="e">
        <f>IF(#REF!="","",IF(AND($CE237&gt;0,#REF!="SYRAH N"),#REF!,0))</f>
        <v>#REF!</v>
      </c>
      <c r="CH237" s="7" t="e">
        <f>IF(#REF!="","",IF(AND($CE237&gt;0,#REF!="CINSAUT N"),#REF!,0))</f>
        <v>#REF!</v>
      </c>
      <c r="CI237" s="7" t="e">
        <f>IF(#REF!="","",IF(AND($CE237&gt;0,#REF!="TIBOUREN N"),#REF!,0))</f>
        <v>#REF!</v>
      </c>
      <c r="CJ237" s="7" t="e">
        <f>IF(#REF!="","",IF(AND($CE237&gt;0,#REF!="MOURVEDRE N"),#REF!,0))</f>
        <v>#REF!</v>
      </c>
      <c r="CK237" s="7" t="e">
        <f>IF(#REF!="","",IF(AND($CE237&gt;0,#REF!="CARIGNAN N"),#REF!,0))</f>
        <v>#REF!</v>
      </c>
      <c r="CL237" s="7" t="e">
        <f>IF(#REF!="","",IF(AND($CE237&gt;0,#REF!="CABERNET SAUVIGNON N"),#REF!,0))</f>
        <v>#REF!</v>
      </c>
      <c r="CM237" s="7" t="e">
        <f>IF(#REF!="","",IF(AND($CE237&gt;0,#REF!="VERMENTINO B"),#REF!,0))</f>
        <v>#REF!</v>
      </c>
      <c r="CN237" s="7" t="e">
        <f>IF(#REF!="","",IF(AND($CE237&gt;0,#REF!="UGNI BLANC B"),#REF!,0))</f>
        <v>#REF!</v>
      </c>
      <c r="CO237" s="7" t="e">
        <f>IF(#REF!="","",IF(AND($CE237&gt;0,#REF!="CLAIRETTE B"),#REF!,0))</f>
        <v>#REF!</v>
      </c>
      <c r="CP237" s="7" t="e">
        <f>IF(#REF!="","",IF(AND($CE237&gt;0,#REF!="semillon B"),#REF!,0))</f>
        <v>#REF!</v>
      </c>
      <c r="CQ237" s="7" t="e">
        <f>IF(#REF!="","",IF(CE237=0,CC237,0))</f>
        <v>#REF!</v>
      </c>
      <c r="CR237" s="17"/>
      <c r="DE237"/>
    </row>
    <row r="238" spans="81:109" x14ac:dyDescent="0.25">
      <c r="CC238" s="7" t="e">
        <f>IF(#REF!="","",IF(#REF!="PF",#REF!,0))</f>
        <v>#REF!</v>
      </c>
      <c r="CD238" s="7" t="e">
        <f>IF(#REF!="","",IF(#REF!="PF",IF((#REF!+4)&lt;YEAR(#REF!),0,#REF!),0))</f>
        <v>#REF!</v>
      </c>
      <c r="CE238" s="7" t="e">
        <f>IF(#REF!="","",IF(AND(CD238&gt;0,#REF!&lt;&gt;""),CC238,0))</f>
        <v>#REF!</v>
      </c>
      <c r="CF238" s="7" t="e">
        <f>IF(#REF!="","",IF(AND($CE238&gt;0,#REF!= "GRENACHE N"),#REF!,0))</f>
        <v>#REF!</v>
      </c>
      <c r="CG238" s="7" t="e">
        <f>IF(#REF!="","",IF(AND($CE238&gt;0,#REF!="SYRAH N"),#REF!,0))</f>
        <v>#REF!</v>
      </c>
      <c r="CH238" s="7" t="e">
        <f>IF(#REF!="","",IF(AND($CE238&gt;0,#REF!="CINSAUT N"),#REF!,0))</f>
        <v>#REF!</v>
      </c>
      <c r="CI238" s="7" t="e">
        <f>IF(#REF!="","",IF(AND($CE238&gt;0,#REF!="TIBOUREN N"),#REF!,0))</f>
        <v>#REF!</v>
      </c>
      <c r="CJ238" s="7" t="e">
        <f>IF(#REF!="","",IF(AND($CE238&gt;0,#REF!="MOURVEDRE N"),#REF!,0))</f>
        <v>#REF!</v>
      </c>
      <c r="CK238" s="7" t="e">
        <f>IF(#REF!="","",IF(AND($CE238&gt;0,#REF!="CARIGNAN N"),#REF!,0))</f>
        <v>#REF!</v>
      </c>
      <c r="CL238" s="7" t="e">
        <f>IF(#REF!="","",IF(AND($CE238&gt;0,#REF!="CABERNET SAUVIGNON N"),#REF!,0))</f>
        <v>#REF!</v>
      </c>
      <c r="CM238" s="7" t="e">
        <f>IF(#REF!="","",IF(AND($CE238&gt;0,#REF!="VERMENTINO B"),#REF!,0))</f>
        <v>#REF!</v>
      </c>
      <c r="CN238" s="7" t="e">
        <f>IF(#REF!="","",IF(AND($CE238&gt;0,#REF!="UGNI BLANC B"),#REF!,0))</f>
        <v>#REF!</v>
      </c>
      <c r="CO238" s="7" t="e">
        <f>IF(#REF!="","",IF(AND($CE238&gt;0,#REF!="CLAIRETTE B"),#REF!,0))</f>
        <v>#REF!</v>
      </c>
      <c r="CP238" s="7" t="e">
        <f>IF(#REF!="","",IF(AND($CE238&gt;0,#REF!="semillon B"),#REF!,0))</f>
        <v>#REF!</v>
      </c>
      <c r="CQ238" s="7" t="e">
        <f>IF(#REF!="","",IF(CE238=0,CC238,0))</f>
        <v>#REF!</v>
      </c>
      <c r="CR238" s="17"/>
      <c r="DE238"/>
    </row>
    <row r="239" spans="81:109" x14ac:dyDescent="0.25">
      <c r="CC239" s="7" t="e">
        <f>IF(#REF!="","",IF(#REF!="PF",#REF!,0))</f>
        <v>#REF!</v>
      </c>
      <c r="CD239" s="7" t="e">
        <f>IF(#REF!="","",IF(#REF!="PF",IF((#REF!+4)&lt;YEAR(#REF!),0,#REF!),0))</f>
        <v>#REF!</v>
      </c>
      <c r="CE239" s="7" t="e">
        <f>IF(#REF!="","",IF(AND(CD239&gt;0,#REF!&lt;&gt;""),CC239,0))</f>
        <v>#REF!</v>
      </c>
      <c r="CF239" s="7" t="e">
        <f>IF(#REF!="","",IF(AND($CE239&gt;0,#REF!= "GRENACHE N"),#REF!,0))</f>
        <v>#REF!</v>
      </c>
      <c r="CG239" s="7" t="e">
        <f>IF(#REF!="","",IF(AND($CE239&gt;0,#REF!="SYRAH N"),#REF!,0))</f>
        <v>#REF!</v>
      </c>
      <c r="CH239" s="7" t="e">
        <f>IF(#REF!="","",IF(AND($CE239&gt;0,#REF!="CINSAUT N"),#REF!,0))</f>
        <v>#REF!</v>
      </c>
      <c r="CI239" s="7" t="e">
        <f>IF(#REF!="","",IF(AND($CE239&gt;0,#REF!="TIBOUREN N"),#REF!,0))</f>
        <v>#REF!</v>
      </c>
      <c r="CJ239" s="7" t="e">
        <f>IF(#REF!="","",IF(AND($CE239&gt;0,#REF!="MOURVEDRE N"),#REF!,0))</f>
        <v>#REF!</v>
      </c>
      <c r="CK239" s="7" t="e">
        <f>IF(#REF!="","",IF(AND($CE239&gt;0,#REF!="CARIGNAN N"),#REF!,0))</f>
        <v>#REF!</v>
      </c>
      <c r="CL239" s="7" t="e">
        <f>IF(#REF!="","",IF(AND($CE239&gt;0,#REF!="CABERNET SAUVIGNON N"),#REF!,0))</f>
        <v>#REF!</v>
      </c>
      <c r="CM239" s="7" t="e">
        <f>IF(#REF!="","",IF(AND($CE239&gt;0,#REF!="VERMENTINO B"),#REF!,0))</f>
        <v>#REF!</v>
      </c>
      <c r="CN239" s="7" t="e">
        <f>IF(#REF!="","",IF(AND($CE239&gt;0,#REF!="UGNI BLANC B"),#REF!,0))</f>
        <v>#REF!</v>
      </c>
      <c r="CO239" s="7" t="e">
        <f>IF(#REF!="","",IF(AND($CE239&gt;0,#REF!="CLAIRETTE B"),#REF!,0))</f>
        <v>#REF!</v>
      </c>
      <c r="CP239" s="7" t="e">
        <f>IF(#REF!="","",IF(AND($CE239&gt;0,#REF!="semillon B"),#REF!,0))</f>
        <v>#REF!</v>
      </c>
      <c r="CQ239" s="7" t="e">
        <f>IF(#REF!="","",IF(CE239=0,CC239,0))</f>
        <v>#REF!</v>
      </c>
      <c r="CR239" s="17"/>
      <c r="DE239"/>
    </row>
    <row r="240" spans="81:109" x14ac:dyDescent="0.25">
      <c r="CC240" s="7" t="e">
        <f>IF(#REF!="","",IF(#REF!="PF",#REF!,0))</f>
        <v>#REF!</v>
      </c>
      <c r="CD240" s="7" t="e">
        <f>IF(#REF!="","",IF(#REF!="PF",IF((#REF!+4)&lt;YEAR(#REF!),0,#REF!),0))</f>
        <v>#REF!</v>
      </c>
      <c r="CE240" s="7" t="e">
        <f>IF(#REF!="","",IF(AND(CD240&gt;0,#REF!&lt;&gt;""),CC240,0))</f>
        <v>#REF!</v>
      </c>
      <c r="CF240" s="7" t="e">
        <f>IF(#REF!="","",IF(AND($CE240&gt;0,#REF!= "GRENACHE N"),#REF!,0))</f>
        <v>#REF!</v>
      </c>
      <c r="CG240" s="7" t="e">
        <f>IF(#REF!="","",IF(AND($CE240&gt;0,#REF!="SYRAH N"),#REF!,0))</f>
        <v>#REF!</v>
      </c>
      <c r="CH240" s="7" t="e">
        <f>IF(#REF!="","",IF(AND($CE240&gt;0,#REF!="CINSAUT N"),#REF!,0))</f>
        <v>#REF!</v>
      </c>
      <c r="CI240" s="7" t="e">
        <f>IF(#REF!="","",IF(AND($CE240&gt;0,#REF!="TIBOUREN N"),#REF!,0))</f>
        <v>#REF!</v>
      </c>
      <c r="CJ240" s="7" t="e">
        <f>IF(#REF!="","",IF(AND($CE240&gt;0,#REF!="MOURVEDRE N"),#REF!,0))</f>
        <v>#REF!</v>
      </c>
      <c r="CK240" s="7" t="e">
        <f>IF(#REF!="","",IF(AND($CE240&gt;0,#REF!="CARIGNAN N"),#REF!,0))</f>
        <v>#REF!</v>
      </c>
      <c r="CL240" s="7" t="e">
        <f>IF(#REF!="","",IF(AND($CE240&gt;0,#REF!="CABERNET SAUVIGNON N"),#REF!,0))</f>
        <v>#REF!</v>
      </c>
      <c r="CM240" s="7" t="e">
        <f>IF(#REF!="","",IF(AND($CE240&gt;0,#REF!="VERMENTINO B"),#REF!,0))</f>
        <v>#REF!</v>
      </c>
      <c r="CN240" s="7" t="e">
        <f>IF(#REF!="","",IF(AND($CE240&gt;0,#REF!="UGNI BLANC B"),#REF!,0))</f>
        <v>#REF!</v>
      </c>
      <c r="CO240" s="7" t="e">
        <f>IF(#REF!="","",IF(AND($CE240&gt;0,#REF!="CLAIRETTE B"),#REF!,0))</f>
        <v>#REF!</v>
      </c>
      <c r="CP240" s="7" t="e">
        <f>IF(#REF!="","",IF(AND($CE240&gt;0,#REF!="semillon B"),#REF!,0))</f>
        <v>#REF!</v>
      </c>
      <c r="CQ240" s="7" t="e">
        <f>IF(#REF!="","",IF(CE240=0,CC240,0))</f>
        <v>#REF!</v>
      </c>
      <c r="CR240" s="17"/>
      <c r="DE240"/>
    </row>
    <row r="241" spans="81:109" x14ac:dyDescent="0.25">
      <c r="CC241" s="7" t="e">
        <f>IF(#REF!="","",IF(#REF!="PF",#REF!,0))</f>
        <v>#REF!</v>
      </c>
      <c r="CD241" s="7" t="e">
        <f>IF(#REF!="","",IF(#REF!="PF",IF((#REF!+4)&lt;YEAR(#REF!),0,#REF!),0))</f>
        <v>#REF!</v>
      </c>
      <c r="CE241" s="7" t="e">
        <f>IF(#REF!="","",IF(AND(CD241&gt;0,#REF!&lt;&gt;""),CC241,0))</f>
        <v>#REF!</v>
      </c>
      <c r="CF241" s="7" t="e">
        <f>IF(#REF!="","",IF(AND($CE241&gt;0,#REF!= "GRENACHE N"),#REF!,0))</f>
        <v>#REF!</v>
      </c>
      <c r="CG241" s="7" t="e">
        <f>IF(#REF!="","",IF(AND($CE241&gt;0,#REF!="SYRAH N"),#REF!,0))</f>
        <v>#REF!</v>
      </c>
      <c r="CH241" s="7" t="e">
        <f>IF(#REF!="","",IF(AND($CE241&gt;0,#REF!="CINSAUT N"),#REF!,0))</f>
        <v>#REF!</v>
      </c>
      <c r="CI241" s="7" t="e">
        <f>IF(#REF!="","",IF(AND($CE241&gt;0,#REF!="TIBOUREN N"),#REF!,0))</f>
        <v>#REF!</v>
      </c>
      <c r="CJ241" s="7" t="e">
        <f>IF(#REF!="","",IF(AND($CE241&gt;0,#REF!="MOURVEDRE N"),#REF!,0))</f>
        <v>#REF!</v>
      </c>
      <c r="CK241" s="7" t="e">
        <f>IF(#REF!="","",IF(AND($CE241&gt;0,#REF!="CARIGNAN N"),#REF!,0))</f>
        <v>#REF!</v>
      </c>
      <c r="CL241" s="7" t="e">
        <f>IF(#REF!="","",IF(AND($CE241&gt;0,#REF!="CABERNET SAUVIGNON N"),#REF!,0))</f>
        <v>#REF!</v>
      </c>
      <c r="CM241" s="7" t="e">
        <f>IF(#REF!="","",IF(AND($CE241&gt;0,#REF!="VERMENTINO B"),#REF!,0))</f>
        <v>#REF!</v>
      </c>
      <c r="CN241" s="7" t="e">
        <f>IF(#REF!="","",IF(AND($CE241&gt;0,#REF!="UGNI BLANC B"),#REF!,0))</f>
        <v>#REF!</v>
      </c>
      <c r="CO241" s="7" t="e">
        <f>IF(#REF!="","",IF(AND($CE241&gt;0,#REF!="CLAIRETTE B"),#REF!,0))</f>
        <v>#REF!</v>
      </c>
      <c r="CP241" s="7" t="e">
        <f>IF(#REF!="","",IF(AND($CE241&gt;0,#REF!="semillon B"),#REF!,0))</f>
        <v>#REF!</v>
      </c>
      <c r="CQ241" s="7" t="e">
        <f>IF(#REF!="","",IF(CE241=0,CC241,0))</f>
        <v>#REF!</v>
      </c>
      <c r="CR241" s="17"/>
      <c r="DE241"/>
    </row>
    <row r="242" spans="81:109" x14ac:dyDescent="0.25">
      <c r="CC242" s="7" t="e">
        <f>IF(#REF!="","",IF(#REF!="PF",#REF!,0))</f>
        <v>#REF!</v>
      </c>
      <c r="CD242" s="7" t="e">
        <f>IF(#REF!="","",IF(#REF!="PF",IF((#REF!+4)&lt;YEAR(#REF!),0,#REF!),0))</f>
        <v>#REF!</v>
      </c>
      <c r="CE242" s="7" t="e">
        <f>IF(#REF!="","",IF(AND(CD242&gt;0,#REF!&lt;&gt;""),CC242,0))</f>
        <v>#REF!</v>
      </c>
      <c r="CF242" s="7" t="e">
        <f>IF(#REF!="","",IF(AND($CE242&gt;0,#REF!= "GRENACHE N"),#REF!,0))</f>
        <v>#REF!</v>
      </c>
      <c r="CG242" s="7" t="e">
        <f>IF(#REF!="","",IF(AND($CE242&gt;0,#REF!="SYRAH N"),#REF!,0))</f>
        <v>#REF!</v>
      </c>
      <c r="CH242" s="7" t="e">
        <f>IF(#REF!="","",IF(AND($CE242&gt;0,#REF!="CINSAUT N"),#REF!,0))</f>
        <v>#REF!</v>
      </c>
      <c r="CI242" s="7" t="e">
        <f>IF(#REF!="","",IF(AND($CE242&gt;0,#REF!="TIBOUREN N"),#REF!,0))</f>
        <v>#REF!</v>
      </c>
      <c r="CJ242" s="7" t="e">
        <f>IF(#REF!="","",IF(AND($CE242&gt;0,#REF!="MOURVEDRE N"),#REF!,0))</f>
        <v>#REF!</v>
      </c>
      <c r="CK242" s="7" t="e">
        <f>IF(#REF!="","",IF(AND($CE242&gt;0,#REF!="CARIGNAN N"),#REF!,0))</f>
        <v>#REF!</v>
      </c>
      <c r="CL242" s="7" t="e">
        <f>IF(#REF!="","",IF(AND($CE242&gt;0,#REF!="CABERNET SAUVIGNON N"),#REF!,0))</f>
        <v>#REF!</v>
      </c>
      <c r="CM242" s="7" t="e">
        <f>IF(#REF!="","",IF(AND($CE242&gt;0,#REF!="VERMENTINO B"),#REF!,0))</f>
        <v>#REF!</v>
      </c>
      <c r="CN242" s="7" t="e">
        <f>IF(#REF!="","",IF(AND($CE242&gt;0,#REF!="UGNI BLANC B"),#REF!,0))</f>
        <v>#REF!</v>
      </c>
      <c r="CO242" s="7" t="e">
        <f>IF(#REF!="","",IF(AND($CE242&gt;0,#REF!="CLAIRETTE B"),#REF!,0))</f>
        <v>#REF!</v>
      </c>
      <c r="CP242" s="7" t="e">
        <f>IF(#REF!="","",IF(AND($CE242&gt;0,#REF!="semillon B"),#REF!,0))</f>
        <v>#REF!</v>
      </c>
      <c r="CQ242" s="7" t="e">
        <f>IF(#REF!="","",IF(CE242=0,CC242,0))</f>
        <v>#REF!</v>
      </c>
      <c r="CR242" s="17"/>
      <c r="DE242"/>
    </row>
    <row r="243" spans="81:109" x14ac:dyDescent="0.25">
      <c r="CC243" s="7" t="e">
        <f>IF(#REF!="","",IF(#REF!="PF",#REF!,0))</f>
        <v>#REF!</v>
      </c>
      <c r="CD243" s="7" t="e">
        <f>IF(#REF!="","",IF(#REF!="PF",IF((#REF!+4)&lt;YEAR(#REF!),0,#REF!),0))</f>
        <v>#REF!</v>
      </c>
      <c r="CE243" s="7" t="e">
        <f>IF(#REF!="","",IF(AND(CD243&gt;0,#REF!&lt;&gt;""),CC243,0))</f>
        <v>#REF!</v>
      </c>
      <c r="CF243" s="7" t="e">
        <f>IF(#REF!="","",IF(AND($CE243&gt;0,#REF!= "GRENACHE N"),#REF!,0))</f>
        <v>#REF!</v>
      </c>
      <c r="CG243" s="7" t="e">
        <f>IF(#REF!="","",IF(AND($CE243&gt;0,#REF!="SYRAH N"),#REF!,0))</f>
        <v>#REF!</v>
      </c>
      <c r="CH243" s="7" t="e">
        <f>IF(#REF!="","",IF(AND($CE243&gt;0,#REF!="CINSAUT N"),#REF!,0))</f>
        <v>#REF!</v>
      </c>
      <c r="CI243" s="7" t="e">
        <f>IF(#REF!="","",IF(AND($CE243&gt;0,#REF!="TIBOUREN N"),#REF!,0))</f>
        <v>#REF!</v>
      </c>
      <c r="CJ243" s="7" t="e">
        <f>IF(#REF!="","",IF(AND($CE243&gt;0,#REF!="MOURVEDRE N"),#REF!,0))</f>
        <v>#REF!</v>
      </c>
      <c r="CK243" s="7" t="e">
        <f>IF(#REF!="","",IF(AND($CE243&gt;0,#REF!="CARIGNAN N"),#REF!,0))</f>
        <v>#REF!</v>
      </c>
      <c r="CL243" s="7" t="e">
        <f>IF(#REF!="","",IF(AND($CE243&gt;0,#REF!="CABERNET SAUVIGNON N"),#REF!,0))</f>
        <v>#REF!</v>
      </c>
      <c r="CM243" s="7" t="e">
        <f>IF(#REF!="","",IF(AND($CE243&gt;0,#REF!="VERMENTINO B"),#REF!,0))</f>
        <v>#REF!</v>
      </c>
      <c r="CN243" s="7" t="e">
        <f>IF(#REF!="","",IF(AND($CE243&gt;0,#REF!="UGNI BLANC B"),#REF!,0))</f>
        <v>#REF!</v>
      </c>
      <c r="CO243" s="7" t="e">
        <f>IF(#REF!="","",IF(AND($CE243&gt;0,#REF!="CLAIRETTE B"),#REF!,0))</f>
        <v>#REF!</v>
      </c>
      <c r="CP243" s="7" t="e">
        <f>IF(#REF!="","",IF(AND($CE243&gt;0,#REF!="semillon B"),#REF!,0))</f>
        <v>#REF!</v>
      </c>
      <c r="CQ243" s="7" t="e">
        <f>IF(#REF!="","",IF(CE243=0,CC243,0))</f>
        <v>#REF!</v>
      </c>
      <c r="CR243" s="17"/>
      <c r="DE243"/>
    </row>
    <row r="244" spans="81:109" x14ac:dyDescent="0.25">
      <c r="CC244" s="7" t="e">
        <f>IF(#REF!="","",IF(#REF!="PF",#REF!,0))</f>
        <v>#REF!</v>
      </c>
      <c r="CD244" s="7" t="e">
        <f>IF(#REF!="","",IF(#REF!="PF",IF((#REF!+4)&lt;YEAR(#REF!),0,#REF!),0))</f>
        <v>#REF!</v>
      </c>
      <c r="CE244" s="7" t="e">
        <f>IF(#REF!="","",IF(AND(CD244&gt;0,#REF!&lt;&gt;""),CC244,0))</f>
        <v>#REF!</v>
      </c>
      <c r="CF244" s="7" t="e">
        <f>IF(#REF!="","",IF(AND($CE244&gt;0,#REF!= "GRENACHE N"),#REF!,0))</f>
        <v>#REF!</v>
      </c>
      <c r="CG244" s="7" t="e">
        <f>IF(#REF!="","",IF(AND($CE244&gt;0,#REF!="SYRAH N"),#REF!,0))</f>
        <v>#REF!</v>
      </c>
      <c r="CH244" s="7" t="e">
        <f>IF(#REF!="","",IF(AND($CE244&gt;0,#REF!="CINSAUT N"),#REF!,0))</f>
        <v>#REF!</v>
      </c>
      <c r="CI244" s="7" t="e">
        <f>IF(#REF!="","",IF(AND($CE244&gt;0,#REF!="TIBOUREN N"),#REF!,0))</f>
        <v>#REF!</v>
      </c>
      <c r="CJ244" s="7" t="e">
        <f>IF(#REF!="","",IF(AND($CE244&gt;0,#REF!="MOURVEDRE N"),#REF!,0))</f>
        <v>#REF!</v>
      </c>
      <c r="CK244" s="7" t="e">
        <f>IF(#REF!="","",IF(AND($CE244&gt;0,#REF!="CARIGNAN N"),#REF!,0))</f>
        <v>#REF!</v>
      </c>
      <c r="CL244" s="7" t="e">
        <f>IF(#REF!="","",IF(AND($CE244&gt;0,#REF!="CABERNET SAUVIGNON N"),#REF!,0))</f>
        <v>#REF!</v>
      </c>
      <c r="CM244" s="7" t="e">
        <f>IF(#REF!="","",IF(AND($CE244&gt;0,#REF!="VERMENTINO B"),#REF!,0))</f>
        <v>#REF!</v>
      </c>
      <c r="CN244" s="7" t="e">
        <f>IF(#REF!="","",IF(AND($CE244&gt;0,#REF!="UGNI BLANC B"),#REF!,0))</f>
        <v>#REF!</v>
      </c>
      <c r="CO244" s="7" t="e">
        <f>IF(#REF!="","",IF(AND($CE244&gt;0,#REF!="CLAIRETTE B"),#REF!,0))</f>
        <v>#REF!</v>
      </c>
      <c r="CP244" s="7" t="e">
        <f>IF(#REF!="","",IF(AND($CE244&gt;0,#REF!="semillon B"),#REF!,0))</f>
        <v>#REF!</v>
      </c>
      <c r="CQ244" s="7" t="e">
        <f>IF(#REF!="","",IF(CE244=0,CC244,0))</f>
        <v>#REF!</v>
      </c>
      <c r="CR244" s="17"/>
      <c r="DE244"/>
    </row>
    <row r="245" spans="81:109" x14ac:dyDescent="0.25">
      <c r="CC245" s="7" t="e">
        <f>IF(#REF!="","",IF(#REF!="PF",#REF!,0))</f>
        <v>#REF!</v>
      </c>
      <c r="CD245" s="7" t="e">
        <f>IF(#REF!="","",IF(#REF!="PF",IF((#REF!+4)&lt;YEAR(#REF!),0,#REF!),0))</f>
        <v>#REF!</v>
      </c>
      <c r="CE245" s="7" t="e">
        <f>IF(#REF!="","",IF(AND(CD245&gt;0,#REF!&lt;&gt;""),CC245,0))</f>
        <v>#REF!</v>
      </c>
      <c r="CF245" s="7" t="e">
        <f>IF(#REF!="","",IF(AND($CE245&gt;0,#REF!= "GRENACHE N"),#REF!,0))</f>
        <v>#REF!</v>
      </c>
      <c r="CG245" s="7" t="e">
        <f>IF(#REF!="","",IF(AND($CE245&gt;0,#REF!="SYRAH N"),#REF!,0))</f>
        <v>#REF!</v>
      </c>
      <c r="CH245" s="7" t="e">
        <f>IF(#REF!="","",IF(AND($CE245&gt;0,#REF!="CINSAUT N"),#REF!,0))</f>
        <v>#REF!</v>
      </c>
      <c r="CI245" s="7" t="e">
        <f>IF(#REF!="","",IF(AND($CE245&gt;0,#REF!="TIBOUREN N"),#REF!,0))</f>
        <v>#REF!</v>
      </c>
      <c r="CJ245" s="7" t="e">
        <f>IF(#REF!="","",IF(AND($CE245&gt;0,#REF!="MOURVEDRE N"),#REF!,0))</f>
        <v>#REF!</v>
      </c>
      <c r="CK245" s="7" t="e">
        <f>IF(#REF!="","",IF(AND($CE245&gt;0,#REF!="CARIGNAN N"),#REF!,0))</f>
        <v>#REF!</v>
      </c>
      <c r="CL245" s="7" t="e">
        <f>IF(#REF!="","",IF(AND($CE245&gt;0,#REF!="CABERNET SAUVIGNON N"),#REF!,0))</f>
        <v>#REF!</v>
      </c>
      <c r="CM245" s="7" t="e">
        <f>IF(#REF!="","",IF(AND($CE245&gt;0,#REF!="VERMENTINO B"),#REF!,0))</f>
        <v>#REF!</v>
      </c>
      <c r="CN245" s="7" t="e">
        <f>IF(#REF!="","",IF(AND($CE245&gt;0,#REF!="UGNI BLANC B"),#REF!,0))</f>
        <v>#REF!</v>
      </c>
      <c r="CO245" s="7" t="e">
        <f>IF(#REF!="","",IF(AND($CE245&gt;0,#REF!="CLAIRETTE B"),#REF!,0))</f>
        <v>#REF!</v>
      </c>
      <c r="CP245" s="7" t="e">
        <f>IF(#REF!="","",IF(AND($CE245&gt;0,#REF!="semillon B"),#REF!,0))</f>
        <v>#REF!</v>
      </c>
      <c r="CQ245" s="7" t="e">
        <f>IF(#REF!="","",IF(CE245=0,CC245,0))</f>
        <v>#REF!</v>
      </c>
      <c r="CR245" s="17"/>
      <c r="DE245"/>
    </row>
    <row r="246" spans="81:109" x14ac:dyDescent="0.25">
      <c r="CC246" s="7" t="e">
        <f>IF(#REF!="","",IF(#REF!="PF",#REF!,0))</f>
        <v>#REF!</v>
      </c>
      <c r="CD246" s="7" t="e">
        <f>IF(#REF!="","",IF(#REF!="PF",IF((#REF!+4)&lt;YEAR(#REF!),0,#REF!),0))</f>
        <v>#REF!</v>
      </c>
      <c r="CE246" s="7" t="e">
        <f>IF(#REF!="","",IF(AND(CD246&gt;0,#REF!&lt;&gt;""),CC246,0))</f>
        <v>#REF!</v>
      </c>
      <c r="CF246" s="7" t="e">
        <f>IF(#REF!="","",IF(AND($CE246&gt;0,#REF!= "GRENACHE N"),#REF!,0))</f>
        <v>#REF!</v>
      </c>
      <c r="CG246" s="7" t="e">
        <f>IF(#REF!="","",IF(AND($CE246&gt;0,#REF!="SYRAH N"),#REF!,0))</f>
        <v>#REF!</v>
      </c>
      <c r="CH246" s="7" t="e">
        <f>IF(#REF!="","",IF(AND($CE246&gt;0,#REF!="CINSAUT N"),#REF!,0))</f>
        <v>#REF!</v>
      </c>
      <c r="CI246" s="7" t="e">
        <f>IF(#REF!="","",IF(AND($CE246&gt;0,#REF!="TIBOUREN N"),#REF!,0))</f>
        <v>#REF!</v>
      </c>
      <c r="CJ246" s="7" t="e">
        <f>IF(#REF!="","",IF(AND($CE246&gt;0,#REF!="MOURVEDRE N"),#REF!,0))</f>
        <v>#REF!</v>
      </c>
      <c r="CK246" s="7" t="e">
        <f>IF(#REF!="","",IF(AND($CE246&gt;0,#REF!="CARIGNAN N"),#REF!,0))</f>
        <v>#REF!</v>
      </c>
      <c r="CL246" s="7" t="e">
        <f>IF(#REF!="","",IF(AND($CE246&gt;0,#REF!="CABERNET SAUVIGNON N"),#REF!,0))</f>
        <v>#REF!</v>
      </c>
      <c r="CM246" s="7" t="e">
        <f>IF(#REF!="","",IF(AND($CE246&gt;0,#REF!="VERMENTINO B"),#REF!,0))</f>
        <v>#REF!</v>
      </c>
      <c r="CN246" s="7" t="e">
        <f>IF(#REF!="","",IF(AND($CE246&gt;0,#REF!="UGNI BLANC B"),#REF!,0))</f>
        <v>#REF!</v>
      </c>
      <c r="CO246" s="7" t="e">
        <f>IF(#REF!="","",IF(AND($CE246&gt;0,#REF!="CLAIRETTE B"),#REF!,0))</f>
        <v>#REF!</v>
      </c>
      <c r="CP246" s="7" t="e">
        <f>IF(#REF!="","",IF(AND($CE246&gt;0,#REF!="semillon B"),#REF!,0))</f>
        <v>#REF!</v>
      </c>
      <c r="CQ246" s="7" t="e">
        <f>IF(#REF!="","",IF(CE246=0,CC246,0))</f>
        <v>#REF!</v>
      </c>
      <c r="CR246" s="17"/>
      <c r="DE246"/>
    </row>
    <row r="247" spans="81:109" x14ac:dyDescent="0.25">
      <c r="CC247" s="7" t="e">
        <f>IF(#REF!="","",IF(#REF!="PF",#REF!,0))</f>
        <v>#REF!</v>
      </c>
      <c r="CD247" s="7" t="e">
        <f>IF(#REF!="","",IF(#REF!="PF",IF((#REF!+4)&lt;YEAR(#REF!),0,#REF!),0))</f>
        <v>#REF!</v>
      </c>
      <c r="CE247" s="7" t="e">
        <f>IF(#REF!="","",IF(AND(CD247&gt;0,#REF!&lt;&gt;""),CC247,0))</f>
        <v>#REF!</v>
      </c>
      <c r="CF247" s="7" t="e">
        <f>IF(#REF!="","",IF(AND($CE247&gt;0,#REF!= "GRENACHE N"),#REF!,0))</f>
        <v>#REF!</v>
      </c>
      <c r="CG247" s="7" t="e">
        <f>IF(#REF!="","",IF(AND($CE247&gt;0,#REF!="SYRAH N"),#REF!,0))</f>
        <v>#REF!</v>
      </c>
      <c r="CH247" s="7" t="e">
        <f>IF(#REF!="","",IF(AND($CE247&gt;0,#REF!="CINSAUT N"),#REF!,0))</f>
        <v>#REF!</v>
      </c>
      <c r="CI247" s="7" t="e">
        <f>IF(#REF!="","",IF(AND($CE247&gt;0,#REF!="TIBOUREN N"),#REF!,0))</f>
        <v>#REF!</v>
      </c>
      <c r="CJ247" s="7" t="e">
        <f>IF(#REF!="","",IF(AND($CE247&gt;0,#REF!="MOURVEDRE N"),#REF!,0))</f>
        <v>#REF!</v>
      </c>
      <c r="CK247" s="7" t="e">
        <f>IF(#REF!="","",IF(AND($CE247&gt;0,#REF!="CARIGNAN N"),#REF!,0))</f>
        <v>#REF!</v>
      </c>
      <c r="CL247" s="7" t="e">
        <f>IF(#REF!="","",IF(AND($CE247&gt;0,#REF!="CABERNET SAUVIGNON N"),#REF!,0))</f>
        <v>#REF!</v>
      </c>
      <c r="CM247" s="7" t="e">
        <f>IF(#REF!="","",IF(AND($CE247&gt;0,#REF!="VERMENTINO B"),#REF!,0))</f>
        <v>#REF!</v>
      </c>
      <c r="CN247" s="7" t="e">
        <f>IF(#REF!="","",IF(AND($CE247&gt;0,#REF!="UGNI BLANC B"),#REF!,0))</f>
        <v>#REF!</v>
      </c>
      <c r="CO247" s="7" t="e">
        <f>IF(#REF!="","",IF(AND($CE247&gt;0,#REF!="CLAIRETTE B"),#REF!,0))</f>
        <v>#REF!</v>
      </c>
      <c r="CP247" s="7" t="e">
        <f>IF(#REF!="","",IF(AND($CE247&gt;0,#REF!="semillon B"),#REF!,0))</f>
        <v>#REF!</v>
      </c>
      <c r="CQ247" s="7" t="e">
        <f>IF(#REF!="","",IF(CE247=0,CC247,0))</f>
        <v>#REF!</v>
      </c>
      <c r="CR247" s="17"/>
      <c r="DE247"/>
    </row>
    <row r="248" spans="81:109" x14ac:dyDescent="0.25">
      <c r="CC248" s="7" t="e">
        <f>IF(#REF!="","",IF(#REF!="PF",#REF!,0))</f>
        <v>#REF!</v>
      </c>
      <c r="CD248" s="7" t="e">
        <f>IF(#REF!="","",IF(#REF!="PF",IF((#REF!+4)&lt;YEAR(#REF!),0,#REF!),0))</f>
        <v>#REF!</v>
      </c>
      <c r="CE248" s="7" t="e">
        <f>IF(#REF!="","",IF(AND(CD248&gt;0,#REF!&lt;&gt;""),CC248,0))</f>
        <v>#REF!</v>
      </c>
      <c r="CF248" s="7" t="e">
        <f>IF(#REF!="","",IF(AND($CE248&gt;0,#REF!= "GRENACHE N"),#REF!,0))</f>
        <v>#REF!</v>
      </c>
      <c r="CG248" s="7" t="e">
        <f>IF(#REF!="","",IF(AND($CE248&gt;0,#REF!="SYRAH N"),#REF!,0))</f>
        <v>#REF!</v>
      </c>
      <c r="CH248" s="7" t="e">
        <f>IF(#REF!="","",IF(AND($CE248&gt;0,#REF!="CINSAUT N"),#REF!,0))</f>
        <v>#REF!</v>
      </c>
      <c r="CI248" s="7" t="e">
        <f>IF(#REF!="","",IF(AND($CE248&gt;0,#REF!="TIBOUREN N"),#REF!,0))</f>
        <v>#REF!</v>
      </c>
      <c r="CJ248" s="7" t="e">
        <f>IF(#REF!="","",IF(AND($CE248&gt;0,#REF!="MOURVEDRE N"),#REF!,0))</f>
        <v>#REF!</v>
      </c>
      <c r="CK248" s="7" t="e">
        <f>IF(#REF!="","",IF(AND($CE248&gt;0,#REF!="CARIGNAN N"),#REF!,0))</f>
        <v>#REF!</v>
      </c>
      <c r="CL248" s="7" t="e">
        <f>IF(#REF!="","",IF(AND($CE248&gt;0,#REF!="CABERNET SAUVIGNON N"),#REF!,0))</f>
        <v>#REF!</v>
      </c>
      <c r="CM248" s="7" t="e">
        <f>IF(#REF!="","",IF(AND($CE248&gt;0,#REF!="VERMENTINO B"),#REF!,0))</f>
        <v>#REF!</v>
      </c>
      <c r="CN248" s="7" t="e">
        <f>IF(#REF!="","",IF(AND($CE248&gt;0,#REF!="UGNI BLANC B"),#REF!,0))</f>
        <v>#REF!</v>
      </c>
      <c r="CO248" s="7" t="e">
        <f>IF(#REF!="","",IF(AND($CE248&gt;0,#REF!="CLAIRETTE B"),#REF!,0))</f>
        <v>#REF!</v>
      </c>
      <c r="CP248" s="7" t="e">
        <f>IF(#REF!="","",IF(AND($CE248&gt;0,#REF!="semillon B"),#REF!,0))</f>
        <v>#REF!</v>
      </c>
      <c r="CQ248" s="7" t="e">
        <f>IF(#REF!="","",IF(CE248=0,CC248,0))</f>
        <v>#REF!</v>
      </c>
      <c r="CR248" s="17"/>
      <c r="DE248"/>
    </row>
    <row r="249" spans="81:109" x14ac:dyDescent="0.25">
      <c r="CC249" s="7" t="e">
        <f>IF(#REF!="","",IF(#REF!="PF",#REF!,0))</f>
        <v>#REF!</v>
      </c>
      <c r="CD249" s="7" t="e">
        <f>IF(#REF!="","",IF(#REF!="PF",IF((#REF!+4)&lt;YEAR(#REF!),0,#REF!),0))</f>
        <v>#REF!</v>
      </c>
      <c r="CE249" s="7" t="e">
        <f>IF(#REF!="","",IF(AND(CD249&gt;0,#REF!&lt;&gt;""),CC249,0))</f>
        <v>#REF!</v>
      </c>
      <c r="CF249" s="7" t="e">
        <f>IF(#REF!="","",IF(AND($CE249&gt;0,#REF!= "GRENACHE N"),#REF!,0))</f>
        <v>#REF!</v>
      </c>
      <c r="CG249" s="7" t="e">
        <f>IF(#REF!="","",IF(AND($CE249&gt;0,#REF!="SYRAH N"),#REF!,0))</f>
        <v>#REF!</v>
      </c>
      <c r="CH249" s="7" t="e">
        <f>IF(#REF!="","",IF(AND($CE249&gt;0,#REF!="CINSAUT N"),#REF!,0))</f>
        <v>#REF!</v>
      </c>
      <c r="CI249" s="7" t="e">
        <f>IF(#REF!="","",IF(AND($CE249&gt;0,#REF!="TIBOUREN N"),#REF!,0))</f>
        <v>#REF!</v>
      </c>
      <c r="CJ249" s="7" t="e">
        <f>IF(#REF!="","",IF(AND($CE249&gt;0,#REF!="MOURVEDRE N"),#REF!,0))</f>
        <v>#REF!</v>
      </c>
      <c r="CK249" s="7" t="e">
        <f>IF(#REF!="","",IF(AND($CE249&gt;0,#REF!="CARIGNAN N"),#REF!,0))</f>
        <v>#REF!</v>
      </c>
      <c r="CL249" s="7" t="e">
        <f>IF(#REF!="","",IF(AND($CE249&gt;0,#REF!="CABERNET SAUVIGNON N"),#REF!,0))</f>
        <v>#REF!</v>
      </c>
      <c r="CM249" s="7" t="e">
        <f>IF(#REF!="","",IF(AND($CE249&gt;0,#REF!="VERMENTINO B"),#REF!,0))</f>
        <v>#REF!</v>
      </c>
      <c r="CN249" s="7" t="e">
        <f>IF(#REF!="","",IF(AND($CE249&gt;0,#REF!="UGNI BLANC B"),#REF!,0))</f>
        <v>#REF!</v>
      </c>
      <c r="CO249" s="7" t="e">
        <f>IF(#REF!="","",IF(AND($CE249&gt;0,#REF!="CLAIRETTE B"),#REF!,0))</f>
        <v>#REF!</v>
      </c>
      <c r="CP249" s="7" t="e">
        <f>IF(#REF!="","",IF(AND($CE249&gt;0,#REF!="semillon B"),#REF!,0))</f>
        <v>#REF!</v>
      </c>
      <c r="CQ249" s="7" t="e">
        <f>IF(#REF!="","",IF(CE249=0,CC249,0))</f>
        <v>#REF!</v>
      </c>
      <c r="CR249" s="17"/>
      <c r="DE249"/>
    </row>
    <row r="250" spans="81:109" x14ac:dyDescent="0.25">
      <c r="CC250" s="7" t="e">
        <f>IF(#REF!="","",IF(#REF!="PF",#REF!,0))</f>
        <v>#REF!</v>
      </c>
      <c r="CD250" s="7" t="e">
        <f>IF(#REF!="","",IF(#REF!="PF",IF((#REF!+4)&lt;YEAR(#REF!),0,#REF!),0))</f>
        <v>#REF!</v>
      </c>
      <c r="CE250" s="7" t="e">
        <f>IF(#REF!="","",IF(AND(CD250&gt;0,#REF!&lt;&gt;""),CC250,0))</f>
        <v>#REF!</v>
      </c>
      <c r="CF250" s="7" t="e">
        <f>IF(#REF!="","",IF(AND($CE250&gt;0,#REF!= "GRENACHE N"),#REF!,0))</f>
        <v>#REF!</v>
      </c>
      <c r="CG250" s="7" t="e">
        <f>IF(#REF!="","",IF(AND($CE250&gt;0,#REF!="SYRAH N"),#REF!,0))</f>
        <v>#REF!</v>
      </c>
      <c r="CH250" s="7" t="e">
        <f>IF(#REF!="","",IF(AND($CE250&gt;0,#REF!="CINSAUT N"),#REF!,0))</f>
        <v>#REF!</v>
      </c>
      <c r="CI250" s="7" t="e">
        <f>IF(#REF!="","",IF(AND($CE250&gt;0,#REF!="TIBOUREN N"),#REF!,0))</f>
        <v>#REF!</v>
      </c>
      <c r="CJ250" s="7" t="e">
        <f>IF(#REF!="","",IF(AND($CE250&gt;0,#REF!="MOURVEDRE N"),#REF!,0))</f>
        <v>#REF!</v>
      </c>
      <c r="CK250" s="7" t="e">
        <f>IF(#REF!="","",IF(AND($CE250&gt;0,#REF!="CARIGNAN N"),#REF!,0))</f>
        <v>#REF!</v>
      </c>
      <c r="CL250" s="7" t="e">
        <f>IF(#REF!="","",IF(AND($CE250&gt;0,#REF!="CABERNET SAUVIGNON N"),#REF!,0))</f>
        <v>#REF!</v>
      </c>
      <c r="CM250" s="7" t="e">
        <f>IF(#REF!="","",IF(AND($CE250&gt;0,#REF!="VERMENTINO B"),#REF!,0))</f>
        <v>#REF!</v>
      </c>
      <c r="CN250" s="7" t="e">
        <f>IF(#REF!="","",IF(AND($CE250&gt;0,#REF!="UGNI BLANC B"),#REF!,0))</f>
        <v>#REF!</v>
      </c>
      <c r="CO250" s="7" t="e">
        <f>IF(#REF!="","",IF(AND($CE250&gt;0,#REF!="CLAIRETTE B"),#REF!,0))</f>
        <v>#REF!</v>
      </c>
      <c r="CP250" s="7" t="e">
        <f>IF(#REF!="","",IF(AND($CE250&gt;0,#REF!="semillon B"),#REF!,0))</f>
        <v>#REF!</v>
      </c>
      <c r="CQ250" s="7" t="e">
        <f>IF(#REF!="","",IF(CE250=0,CC250,0))</f>
        <v>#REF!</v>
      </c>
      <c r="CR250" s="17"/>
      <c r="DE250"/>
    </row>
    <row r="251" spans="81:109" x14ac:dyDescent="0.25">
      <c r="CC251" s="7" t="e">
        <f>IF(#REF!="","",IF(#REF!="PF",#REF!,0))</f>
        <v>#REF!</v>
      </c>
      <c r="CD251" s="7" t="e">
        <f>IF(#REF!="","",IF(#REF!="PF",IF((#REF!+4)&lt;YEAR(#REF!),0,#REF!),0))</f>
        <v>#REF!</v>
      </c>
      <c r="CE251" s="7" t="e">
        <f>IF(#REF!="","",IF(AND(CD251&gt;0,#REF!&lt;&gt;""),CC251,0))</f>
        <v>#REF!</v>
      </c>
      <c r="CF251" s="7" t="e">
        <f>IF(#REF!="","",IF(AND($CE251&gt;0,#REF!= "GRENACHE N"),#REF!,0))</f>
        <v>#REF!</v>
      </c>
      <c r="CG251" s="7" t="e">
        <f>IF(#REF!="","",IF(AND($CE251&gt;0,#REF!="SYRAH N"),#REF!,0))</f>
        <v>#REF!</v>
      </c>
      <c r="CH251" s="7" t="e">
        <f>IF(#REF!="","",IF(AND($CE251&gt;0,#REF!="CINSAUT N"),#REF!,0))</f>
        <v>#REF!</v>
      </c>
      <c r="CI251" s="7" t="e">
        <f>IF(#REF!="","",IF(AND($CE251&gt;0,#REF!="TIBOUREN N"),#REF!,0))</f>
        <v>#REF!</v>
      </c>
      <c r="CJ251" s="7" t="e">
        <f>IF(#REF!="","",IF(AND($CE251&gt;0,#REF!="MOURVEDRE N"),#REF!,0))</f>
        <v>#REF!</v>
      </c>
      <c r="CK251" s="7" t="e">
        <f>IF(#REF!="","",IF(AND($CE251&gt;0,#REF!="CARIGNAN N"),#REF!,0))</f>
        <v>#REF!</v>
      </c>
      <c r="CL251" s="7" t="e">
        <f>IF(#REF!="","",IF(AND($CE251&gt;0,#REF!="CABERNET SAUVIGNON N"),#REF!,0))</f>
        <v>#REF!</v>
      </c>
      <c r="CM251" s="7" t="e">
        <f>IF(#REF!="","",IF(AND($CE251&gt;0,#REF!="VERMENTINO B"),#REF!,0))</f>
        <v>#REF!</v>
      </c>
      <c r="CN251" s="7" t="e">
        <f>IF(#REF!="","",IF(AND($CE251&gt;0,#REF!="UGNI BLANC B"),#REF!,0))</f>
        <v>#REF!</v>
      </c>
      <c r="CO251" s="7" t="e">
        <f>IF(#REF!="","",IF(AND($CE251&gt;0,#REF!="CLAIRETTE B"),#REF!,0))</f>
        <v>#REF!</v>
      </c>
      <c r="CP251" s="7" t="e">
        <f>IF(#REF!="","",IF(AND($CE251&gt;0,#REF!="semillon B"),#REF!,0))</f>
        <v>#REF!</v>
      </c>
      <c r="CQ251" s="7" t="e">
        <f>IF(#REF!="","",IF(CE251=0,CC251,0))</f>
        <v>#REF!</v>
      </c>
      <c r="CR251" s="17"/>
      <c r="DE251"/>
    </row>
    <row r="252" spans="81:109" x14ac:dyDescent="0.25">
      <c r="CC252" s="7" t="e">
        <f>IF(#REF!="","",IF(#REF!="PF",#REF!,0))</f>
        <v>#REF!</v>
      </c>
      <c r="CD252" s="7" t="e">
        <f>IF(#REF!="","",IF(#REF!="PF",IF((#REF!+4)&lt;YEAR(#REF!),0,#REF!),0))</f>
        <v>#REF!</v>
      </c>
      <c r="CE252" s="7" t="e">
        <f>IF(#REF!="","",IF(AND(CD252&gt;0,#REF!&lt;&gt;""),CC252,0))</f>
        <v>#REF!</v>
      </c>
      <c r="CF252" s="7" t="e">
        <f>IF(#REF!="","",IF(AND($CE252&gt;0,#REF!= "GRENACHE N"),#REF!,0))</f>
        <v>#REF!</v>
      </c>
      <c r="CG252" s="7" t="e">
        <f>IF(#REF!="","",IF(AND($CE252&gt;0,#REF!="SYRAH N"),#REF!,0))</f>
        <v>#REF!</v>
      </c>
      <c r="CH252" s="7" t="e">
        <f>IF(#REF!="","",IF(AND($CE252&gt;0,#REF!="CINSAUT N"),#REF!,0))</f>
        <v>#REF!</v>
      </c>
      <c r="CI252" s="7" t="e">
        <f>IF(#REF!="","",IF(AND($CE252&gt;0,#REF!="TIBOUREN N"),#REF!,0))</f>
        <v>#REF!</v>
      </c>
      <c r="CJ252" s="7" t="e">
        <f>IF(#REF!="","",IF(AND($CE252&gt;0,#REF!="MOURVEDRE N"),#REF!,0))</f>
        <v>#REF!</v>
      </c>
      <c r="CK252" s="7" t="e">
        <f>IF(#REF!="","",IF(AND($CE252&gt;0,#REF!="CARIGNAN N"),#REF!,0))</f>
        <v>#REF!</v>
      </c>
      <c r="CL252" s="7" t="e">
        <f>IF(#REF!="","",IF(AND($CE252&gt;0,#REF!="CABERNET SAUVIGNON N"),#REF!,0))</f>
        <v>#REF!</v>
      </c>
      <c r="CM252" s="7" t="e">
        <f>IF(#REF!="","",IF(AND($CE252&gt;0,#REF!="VERMENTINO B"),#REF!,0))</f>
        <v>#REF!</v>
      </c>
      <c r="CN252" s="7" t="e">
        <f>IF(#REF!="","",IF(AND($CE252&gt;0,#REF!="UGNI BLANC B"),#REF!,0))</f>
        <v>#REF!</v>
      </c>
      <c r="CO252" s="7" t="e">
        <f>IF(#REF!="","",IF(AND($CE252&gt;0,#REF!="CLAIRETTE B"),#REF!,0))</f>
        <v>#REF!</v>
      </c>
      <c r="CP252" s="7" t="e">
        <f>IF(#REF!="","",IF(AND($CE252&gt;0,#REF!="semillon B"),#REF!,0))</f>
        <v>#REF!</v>
      </c>
      <c r="CQ252" s="7" t="e">
        <f>IF(#REF!="","",IF(CE252=0,CC252,0))</f>
        <v>#REF!</v>
      </c>
      <c r="CR252" s="17"/>
      <c r="DE252"/>
    </row>
    <row r="253" spans="81:109" x14ac:dyDescent="0.25">
      <c r="CC253" s="7" t="e">
        <f>IF(#REF!="","",IF(#REF!="PF",#REF!,0))</f>
        <v>#REF!</v>
      </c>
      <c r="CD253" s="7" t="e">
        <f>IF(#REF!="","",IF(#REF!="PF",IF((#REF!+4)&lt;YEAR(#REF!),0,#REF!),0))</f>
        <v>#REF!</v>
      </c>
      <c r="CE253" s="7" t="e">
        <f>IF(#REF!="","",IF(AND(CD253&gt;0,#REF!&lt;&gt;""),CC253,0))</f>
        <v>#REF!</v>
      </c>
      <c r="CF253" s="7" t="e">
        <f>IF(#REF!="","",IF(AND($CE253&gt;0,#REF!= "GRENACHE N"),#REF!,0))</f>
        <v>#REF!</v>
      </c>
      <c r="CG253" s="7" t="e">
        <f>IF(#REF!="","",IF(AND($CE253&gt;0,#REF!="SYRAH N"),#REF!,0))</f>
        <v>#REF!</v>
      </c>
      <c r="CH253" s="7" t="e">
        <f>IF(#REF!="","",IF(AND($CE253&gt;0,#REF!="CINSAUT N"),#REF!,0))</f>
        <v>#REF!</v>
      </c>
      <c r="CI253" s="7" t="e">
        <f>IF(#REF!="","",IF(AND($CE253&gt;0,#REF!="TIBOUREN N"),#REF!,0))</f>
        <v>#REF!</v>
      </c>
      <c r="CJ253" s="7" t="e">
        <f>IF(#REF!="","",IF(AND($CE253&gt;0,#REF!="MOURVEDRE N"),#REF!,0))</f>
        <v>#REF!</v>
      </c>
      <c r="CK253" s="7" t="e">
        <f>IF(#REF!="","",IF(AND($CE253&gt;0,#REF!="CARIGNAN N"),#REF!,0))</f>
        <v>#REF!</v>
      </c>
      <c r="CL253" s="7" t="e">
        <f>IF(#REF!="","",IF(AND($CE253&gt;0,#REF!="CABERNET SAUVIGNON N"),#REF!,0))</f>
        <v>#REF!</v>
      </c>
      <c r="CM253" s="7" t="e">
        <f>IF(#REF!="","",IF(AND($CE253&gt;0,#REF!="VERMENTINO B"),#REF!,0))</f>
        <v>#REF!</v>
      </c>
      <c r="CN253" s="7" t="e">
        <f>IF(#REF!="","",IF(AND($CE253&gt;0,#REF!="UGNI BLANC B"),#REF!,0))</f>
        <v>#REF!</v>
      </c>
      <c r="CO253" s="7" t="e">
        <f>IF(#REF!="","",IF(AND($CE253&gt;0,#REF!="CLAIRETTE B"),#REF!,0))</f>
        <v>#REF!</v>
      </c>
      <c r="CP253" s="7" t="e">
        <f>IF(#REF!="","",IF(AND($CE253&gt;0,#REF!="semillon B"),#REF!,0))</f>
        <v>#REF!</v>
      </c>
      <c r="CQ253" s="7" t="e">
        <f>IF(#REF!="","",IF(CE253=0,CC253,0))</f>
        <v>#REF!</v>
      </c>
      <c r="CR253" s="17"/>
      <c r="DE253"/>
    </row>
    <row r="254" spans="81:109" x14ac:dyDescent="0.25">
      <c r="CC254" s="7" t="e">
        <f>IF(#REF!="","",IF(#REF!="PF",#REF!,0))</f>
        <v>#REF!</v>
      </c>
      <c r="CD254" s="7" t="e">
        <f>IF(#REF!="","",IF(#REF!="PF",IF((#REF!+4)&lt;YEAR(#REF!),0,#REF!),0))</f>
        <v>#REF!</v>
      </c>
      <c r="CE254" s="7" t="e">
        <f>IF(#REF!="","",IF(AND(CD254&gt;0,#REF!&lt;&gt;""),CC254,0))</f>
        <v>#REF!</v>
      </c>
      <c r="CF254" s="7" t="e">
        <f>IF(#REF!="","",IF(AND($CE254&gt;0,#REF!= "GRENACHE N"),#REF!,0))</f>
        <v>#REF!</v>
      </c>
      <c r="CG254" s="7" t="e">
        <f>IF(#REF!="","",IF(AND($CE254&gt;0,#REF!="SYRAH N"),#REF!,0))</f>
        <v>#REF!</v>
      </c>
      <c r="CH254" s="7" t="e">
        <f>IF(#REF!="","",IF(AND($CE254&gt;0,#REF!="CINSAUT N"),#REF!,0))</f>
        <v>#REF!</v>
      </c>
      <c r="CI254" s="7" t="e">
        <f>IF(#REF!="","",IF(AND($CE254&gt;0,#REF!="TIBOUREN N"),#REF!,0))</f>
        <v>#REF!</v>
      </c>
      <c r="CJ254" s="7" t="e">
        <f>IF(#REF!="","",IF(AND($CE254&gt;0,#REF!="MOURVEDRE N"),#REF!,0))</f>
        <v>#REF!</v>
      </c>
      <c r="CK254" s="7" t="e">
        <f>IF(#REF!="","",IF(AND($CE254&gt;0,#REF!="CARIGNAN N"),#REF!,0))</f>
        <v>#REF!</v>
      </c>
      <c r="CL254" s="7" t="e">
        <f>IF(#REF!="","",IF(AND($CE254&gt;0,#REF!="CABERNET SAUVIGNON N"),#REF!,0))</f>
        <v>#REF!</v>
      </c>
      <c r="CM254" s="7" t="e">
        <f>IF(#REF!="","",IF(AND($CE254&gt;0,#REF!="VERMENTINO B"),#REF!,0))</f>
        <v>#REF!</v>
      </c>
      <c r="CN254" s="7" t="e">
        <f>IF(#REF!="","",IF(AND($CE254&gt;0,#REF!="UGNI BLANC B"),#REF!,0))</f>
        <v>#REF!</v>
      </c>
      <c r="CO254" s="7" t="e">
        <f>IF(#REF!="","",IF(AND($CE254&gt;0,#REF!="CLAIRETTE B"),#REF!,0))</f>
        <v>#REF!</v>
      </c>
      <c r="CP254" s="7" t="e">
        <f>IF(#REF!="","",IF(AND($CE254&gt;0,#REF!="semillon B"),#REF!,0))</f>
        <v>#REF!</v>
      </c>
      <c r="CQ254" s="7" t="e">
        <f>IF(#REF!="","",IF(CE254=0,CC254,0))</f>
        <v>#REF!</v>
      </c>
      <c r="CR254" s="17"/>
      <c r="DE254"/>
    </row>
    <row r="255" spans="81:109" x14ac:dyDescent="0.25">
      <c r="CC255" s="7" t="e">
        <f>IF(#REF!="","",IF(#REF!="PF",#REF!,0))</f>
        <v>#REF!</v>
      </c>
      <c r="CD255" s="7" t="e">
        <f>IF(#REF!="","",IF(#REF!="PF",IF((#REF!+4)&lt;YEAR(#REF!),0,#REF!),0))</f>
        <v>#REF!</v>
      </c>
      <c r="CE255" s="7" t="e">
        <f>IF(#REF!="","",IF(AND(CD255&gt;0,#REF!&lt;&gt;""),CC255,0))</f>
        <v>#REF!</v>
      </c>
      <c r="CF255" s="7" t="e">
        <f>IF(#REF!="","",IF(AND($CE255&gt;0,#REF!= "GRENACHE N"),#REF!,0))</f>
        <v>#REF!</v>
      </c>
      <c r="CG255" s="7" t="e">
        <f>IF(#REF!="","",IF(AND($CE255&gt;0,#REF!="SYRAH N"),#REF!,0))</f>
        <v>#REF!</v>
      </c>
      <c r="CH255" s="7" t="e">
        <f>IF(#REF!="","",IF(AND($CE255&gt;0,#REF!="CINSAUT N"),#REF!,0))</f>
        <v>#REF!</v>
      </c>
      <c r="CI255" s="7" t="e">
        <f>IF(#REF!="","",IF(AND($CE255&gt;0,#REF!="TIBOUREN N"),#REF!,0))</f>
        <v>#REF!</v>
      </c>
      <c r="CJ255" s="7" t="e">
        <f>IF(#REF!="","",IF(AND($CE255&gt;0,#REF!="MOURVEDRE N"),#REF!,0))</f>
        <v>#REF!</v>
      </c>
      <c r="CK255" s="7" t="e">
        <f>IF(#REF!="","",IF(AND($CE255&gt;0,#REF!="CARIGNAN N"),#REF!,0))</f>
        <v>#REF!</v>
      </c>
      <c r="CL255" s="7" t="e">
        <f>IF(#REF!="","",IF(AND($CE255&gt;0,#REF!="CABERNET SAUVIGNON N"),#REF!,0))</f>
        <v>#REF!</v>
      </c>
      <c r="CM255" s="7" t="e">
        <f>IF(#REF!="","",IF(AND($CE255&gt;0,#REF!="VERMENTINO B"),#REF!,0))</f>
        <v>#REF!</v>
      </c>
      <c r="CN255" s="7" t="e">
        <f>IF(#REF!="","",IF(AND($CE255&gt;0,#REF!="UGNI BLANC B"),#REF!,0))</f>
        <v>#REF!</v>
      </c>
      <c r="CO255" s="7" t="e">
        <f>IF(#REF!="","",IF(AND($CE255&gt;0,#REF!="CLAIRETTE B"),#REF!,0))</f>
        <v>#REF!</v>
      </c>
      <c r="CP255" s="7" t="e">
        <f>IF(#REF!="","",IF(AND($CE255&gt;0,#REF!="semillon B"),#REF!,0))</f>
        <v>#REF!</v>
      </c>
      <c r="CQ255" s="7" t="e">
        <f>IF(#REF!="","",IF(CE255=0,CC255,0))</f>
        <v>#REF!</v>
      </c>
      <c r="CR255" s="17"/>
      <c r="DE255"/>
    </row>
    <row r="256" spans="81:109" x14ac:dyDescent="0.25">
      <c r="CC256" s="7" t="e">
        <f>IF(#REF!="","",IF(#REF!="PF",#REF!,0))</f>
        <v>#REF!</v>
      </c>
      <c r="CD256" s="7" t="e">
        <f>IF(#REF!="","",IF(#REF!="PF",IF((#REF!+4)&lt;YEAR(#REF!),0,#REF!),0))</f>
        <v>#REF!</v>
      </c>
      <c r="CE256" s="7" t="e">
        <f>IF(#REF!="","",IF(AND(CD256&gt;0,#REF!&lt;&gt;""),CC256,0))</f>
        <v>#REF!</v>
      </c>
      <c r="CF256" s="7" t="e">
        <f>IF(#REF!="","",IF(AND($CE256&gt;0,#REF!= "GRENACHE N"),#REF!,0))</f>
        <v>#REF!</v>
      </c>
      <c r="CG256" s="7" t="e">
        <f>IF(#REF!="","",IF(AND($CE256&gt;0,#REF!="SYRAH N"),#REF!,0))</f>
        <v>#REF!</v>
      </c>
      <c r="CH256" s="7" t="e">
        <f>IF(#REF!="","",IF(AND($CE256&gt;0,#REF!="CINSAUT N"),#REF!,0))</f>
        <v>#REF!</v>
      </c>
      <c r="CI256" s="7" t="e">
        <f>IF(#REF!="","",IF(AND($CE256&gt;0,#REF!="TIBOUREN N"),#REF!,0))</f>
        <v>#REF!</v>
      </c>
      <c r="CJ256" s="7" t="e">
        <f>IF(#REF!="","",IF(AND($CE256&gt;0,#REF!="MOURVEDRE N"),#REF!,0))</f>
        <v>#REF!</v>
      </c>
      <c r="CK256" s="7" t="e">
        <f>IF(#REF!="","",IF(AND($CE256&gt;0,#REF!="CARIGNAN N"),#REF!,0))</f>
        <v>#REF!</v>
      </c>
      <c r="CL256" s="7" t="e">
        <f>IF(#REF!="","",IF(AND($CE256&gt;0,#REF!="CABERNET SAUVIGNON N"),#REF!,0))</f>
        <v>#REF!</v>
      </c>
      <c r="CM256" s="7" t="e">
        <f>IF(#REF!="","",IF(AND($CE256&gt;0,#REF!="VERMENTINO B"),#REF!,0))</f>
        <v>#REF!</v>
      </c>
      <c r="CN256" s="7" t="e">
        <f>IF(#REF!="","",IF(AND($CE256&gt;0,#REF!="UGNI BLANC B"),#REF!,0))</f>
        <v>#REF!</v>
      </c>
      <c r="CO256" s="7" t="e">
        <f>IF(#REF!="","",IF(AND($CE256&gt;0,#REF!="CLAIRETTE B"),#REF!,0))</f>
        <v>#REF!</v>
      </c>
      <c r="CP256" s="7" t="e">
        <f>IF(#REF!="","",IF(AND($CE256&gt;0,#REF!="semillon B"),#REF!,0))</f>
        <v>#REF!</v>
      </c>
      <c r="CQ256" s="7" t="e">
        <f>IF(#REF!="","",IF(CE256=0,CC256,0))</f>
        <v>#REF!</v>
      </c>
      <c r="CR256" s="17"/>
      <c r="DE256"/>
    </row>
    <row r="257" spans="81:109" x14ac:dyDescent="0.25">
      <c r="CC257" s="7" t="e">
        <f>IF(#REF!="","",IF(#REF!="PF",#REF!,0))</f>
        <v>#REF!</v>
      </c>
      <c r="CD257" s="7" t="e">
        <f>IF(#REF!="","",IF(#REF!="PF",IF((#REF!+4)&lt;YEAR(#REF!),0,#REF!),0))</f>
        <v>#REF!</v>
      </c>
      <c r="CE257" s="7" t="e">
        <f>IF(#REF!="","",IF(AND(CD257&gt;0,#REF!&lt;&gt;""),CC257,0))</f>
        <v>#REF!</v>
      </c>
      <c r="CF257" s="7" t="e">
        <f>IF(#REF!="","",IF(AND($CE257&gt;0,#REF!= "GRENACHE N"),#REF!,0))</f>
        <v>#REF!</v>
      </c>
      <c r="CG257" s="7" t="e">
        <f>IF(#REF!="","",IF(AND($CE257&gt;0,#REF!="SYRAH N"),#REF!,0))</f>
        <v>#REF!</v>
      </c>
      <c r="CH257" s="7" t="e">
        <f>IF(#REF!="","",IF(AND($CE257&gt;0,#REF!="CINSAUT N"),#REF!,0))</f>
        <v>#REF!</v>
      </c>
      <c r="CI257" s="7" t="e">
        <f>IF(#REF!="","",IF(AND($CE257&gt;0,#REF!="TIBOUREN N"),#REF!,0))</f>
        <v>#REF!</v>
      </c>
      <c r="CJ257" s="7" t="e">
        <f>IF(#REF!="","",IF(AND($CE257&gt;0,#REF!="MOURVEDRE N"),#REF!,0))</f>
        <v>#REF!</v>
      </c>
      <c r="CK257" s="7" t="e">
        <f>IF(#REF!="","",IF(AND($CE257&gt;0,#REF!="CARIGNAN N"),#REF!,0))</f>
        <v>#REF!</v>
      </c>
      <c r="CL257" s="7" t="e">
        <f>IF(#REF!="","",IF(AND($CE257&gt;0,#REF!="CABERNET SAUVIGNON N"),#REF!,0))</f>
        <v>#REF!</v>
      </c>
      <c r="CM257" s="7" t="e">
        <f>IF(#REF!="","",IF(AND($CE257&gt;0,#REF!="VERMENTINO B"),#REF!,0))</f>
        <v>#REF!</v>
      </c>
      <c r="CN257" s="7" t="e">
        <f>IF(#REF!="","",IF(AND($CE257&gt;0,#REF!="UGNI BLANC B"),#REF!,0))</f>
        <v>#REF!</v>
      </c>
      <c r="CO257" s="7" t="e">
        <f>IF(#REF!="","",IF(AND($CE257&gt;0,#REF!="CLAIRETTE B"),#REF!,0))</f>
        <v>#REF!</v>
      </c>
      <c r="CP257" s="7" t="e">
        <f>IF(#REF!="","",IF(AND($CE257&gt;0,#REF!="semillon B"),#REF!,0))</f>
        <v>#REF!</v>
      </c>
      <c r="CQ257" s="7" t="e">
        <f>IF(#REF!="","",IF(CE257=0,CC257,0))</f>
        <v>#REF!</v>
      </c>
      <c r="CR257" s="17"/>
      <c r="DE257"/>
    </row>
    <row r="258" spans="81:109" x14ac:dyDescent="0.25">
      <c r="CC258" s="7" t="e">
        <f>IF(#REF!="","",IF(#REF!="PF",#REF!,0))</f>
        <v>#REF!</v>
      </c>
      <c r="CD258" s="7" t="e">
        <f>IF(#REF!="","",IF(#REF!="PF",IF((#REF!+4)&lt;YEAR(#REF!),0,#REF!),0))</f>
        <v>#REF!</v>
      </c>
      <c r="CE258" s="7" t="e">
        <f>IF(#REF!="","",IF(AND(CD258&gt;0,#REF!&lt;&gt;""),CC258,0))</f>
        <v>#REF!</v>
      </c>
      <c r="CF258" s="7" t="e">
        <f>IF(#REF!="","",IF(AND($CE258&gt;0,#REF!= "GRENACHE N"),#REF!,0))</f>
        <v>#REF!</v>
      </c>
      <c r="CG258" s="7" t="e">
        <f>IF(#REF!="","",IF(AND($CE258&gt;0,#REF!="SYRAH N"),#REF!,0))</f>
        <v>#REF!</v>
      </c>
      <c r="CH258" s="7" t="e">
        <f>IF(#REF!="","",IF(AND($CE258&gt;0,#REF!="CINSAUT N"),#REF!,0))</f>
        <v>#REF!</v>
      </c>
      <c r="CI258" s="7" t="e">
        <f>IF(#REF!="","",IF(AND($CE258&gt;0,#REF!="TIBOUREN N"),#REF!,0))</f>
        <v>#REF!</v>
      </c>
      <c r="CJ258" s="7" t="e">
        <f>IF(#REF!="","",IF(AND($CE258&gt;0,#REF!="MOURVEDRE N"),#REF!,0))</f>
        <v>#REF!</v>
      </c>
      <c r="CK258" s="7" t="e">
        <f>IF(#REF!="","",IF(AND($CE258&gt;0,#REF!="CARIGNAN N"),#REF!,0))</f>
        <v>#REF!</v>
      </c>
      <c r="CL258" s="7" t="e">
        <f>IF(#REF!="","",IF(AND($CE258&gt;0,#REF!="CABERNET SAUVIGNON N"),#REF!,0))</f>
        <v>#REF!</v>
      </c>
      <c r="CM258" s="7" t="e">
        <f>IF(#REF!="","",IF(AND($CE258&gt;0,#REF!="VERMENTINO B"),#REF!,0))</f>
        <v>#REF!</v>
      </c>
      <c r="CN258" s="7" t="e">
        <f>IF(#REF!="","",IF(AND($CE258&gt;0,#REF!="UGNI BLANC B"),#REF!,0))</f>
        <v>#REF!</v>
      </c>
      <c r="CO258" s="7" t="e">
        <f>IF(#REF!="","",IF(AND($CE258&gt;0,#REF!="CLAIRETTE B"),#REF!,0))</f>
        <v>#REF!</v>
      </c>
      <c r="CP258" s="7" t="e">
        <f>IF(#REF!="","",IF(AND($CE258&gt;0,#REF!="semillon B"),#REF!,0))</f>
        <v>#REF!</v>
      </c>
      <c r="CQ258" s="7" t="e">
        <f>IF(#REF!="","",IF(CE258=0,CC258,0))</f>
        <v>#REF!</v>
      </c>
      <c r="CR258" s="17"/>
      <c r="DE258"/>
    </row>
    <row r="259" spans="81:109" x14ac:dyDescent="0.25">
      <c r="CC259" s="7" t="e">
        <f>IF(#REF!="","",IF(#REF!="PF",#REF!,0))</f>
        <v>#REF!</v>
      </c>
      <c r="CD259" s="7" t="e">
        <f>IF(#REF!="","",IF(#REF!="PF",IF((#REF!+4)&lt;YEAR(#REF!),0,#REF!),0))</f>
        <v>#REF!</v>
      </c>
      <c r="CE259" s="7" t="e">
        <f>IF(#REF!="","",IF(AND(CD259&gt;0,#REF!&lt;&gt;""),CC259,0))</f>
        <v>#REF!</v>
      </c>
      <c r="CF259" s="7" t="e">
        <f>IF(#REF!="","",IF(AND($CE259&gt;0,#REF!= "GRENACHE N"),#REF!,0))</f>
        <v>#REF!</v>
      </c>
      <c r="CG259" s="7" t="e">
        <f>IF(#REF!="","",IF(AND($CE259&gt;0,#REF!="SYRAH N"),#REF!,0))</f>
        <v>#REF!</v>
      </c>
      <c r="CH259" s="7" t="e">
        <f>IF(#REF!="","",IF(AND($CE259&gt;0,#REF!="CINSAUT N"),#REF!,0))</f>
        <v>#REF!</v>
      </c>
      <c r="CI259" s="7" t="e">
        <f>IF(#REF!="","",IF(AND($CE259&gt;0,#REF!="TIBOUREN N"),#REF!,0))</f>
        <v>#REF!</v>
      </c>
      <c r="CJ259" s="7" t="e">
        <f>IF(#REF!="","",IF(AND($CE259&gt;0,#REF!="MOURVEDRE N"),#REF!,0))</f>
        <v>#REF!</v>
      </c>
      <c r="CK259" s="7" t="e">
        <f>IF(#REF!="","",IF(AND($CE259&gt;0,#REF!="CARIGNAN N"),#REF!,0))</f>
        <v>#REF!</v>
      </c>
      <c r="CL259" s="7" t="e">
        <f>IF(#REF!="","",IF(AND($CE259&gt;0,#REF!="CABERNET SAUVIGNON N"),#REF!,0))</f>
        <v>#REF!</v>
      </c>
      <c r="CM259" s="7" t="e">
        <f>IF(#REF!="","",IF(AND($CE259&gt;0,#REF!="VERMENTINO B"),#REF!,0))</f>
        <v>#REF!</v>
      </c>
      <c r="CN259" s="7" t="e">
        <f>IF(#REF!="","",IF(AND($CE259&gt;0,#REF!="UGNI BLANC B"),#REF!,0))</f>
        <v>#REF!</v>
      </c>
      <c r="CO259" s="7" t="e">
        <f>IF(#REF!="","",IF(AND($CE259&gt;0,#REF!="CLAIRETTE B"),#REF!,0))</f>
        <v>#REF!</v>
      </c>
      <c r="CP259" s="7" t="e">
        <f>IF(#REF!="","",IF(AND($CE259&gt;0,#REF!="semillon B"),#REF!,0))</f>
        <v>#REF!</v>
      </c>
      <c r="CQ259" s="7" t="e">
        <f>IF(#REF!="","",IF(CE259=0,CC259,0))</f>
        <v>#REF!</v>
      </c>
      <c r="CR259" s="17"/>
      <c r="DE259"/>
    </row>
    <row r="260" spans="81:109" x14ac:dyDescent="0.25">
      <c r="CC260" s="7" t="e">
        <f>IF(#REF!="","",IF(#REF!="PF",#REF!,0))</f>
        <v>#REF!</v>
      </c>
      <c r="CD260" s="7" t="e">
        <f>IF(#REF!="","",IF(#REF!="PF",IF((#REF!+4)&lt;YEAR(#REF!),0,#REF!),0))</f>
        <v>#REF!</v>
      </c>
      <c r="CE260" s="7" t="e">
        <f>IF(#REF!="","",IF(AND(CD260&gt;0,#REF!&lt;&gt;""),CC260,0))</f>
        <v>#REF!</v>
      </c>
      <c r="CF260" s="7" t="e">
        <f>IF(#REF!="","",IF(AND($CE260&gt;0,#REF!= "GRENACHE N"),#REF!,0))</f>
        <v>#REF!</v>
      </c>
      <c r="CG260" s="7" t="e">
        <f>IF(#REF!="","",IF(AND($CE260&gt;0,#REF!="SYRAH N"),#REF!,0))</f>
        <v>#REF!</v>
      </c>
      <c r="CH260" s="7" t="e">
        <f>IF(#REF!="","",IF(AND($CE260&gt;0,#REF!="CINSAUT N"),#REF!,0))</f>
        <v>#REF!</v>
      </c>
      <c r="CI260" s="7" t="e">
        <f>IF(#REF!="","",IF(AND($CE260&gt;0,#REF!="TIBOUREN N"),#REF!,0))</f>
        <v>#REF!</v>
      </c>
      <c r="CJ260" s="7" t="e">
        <f>IF(#REF!="","",IF(AND($CE260&gt;0,#REF!="MOURVEDRE N"),#REF!,0))</f>
        <v>#REF!</v>
      </c>
      <c r="CK260" s="7" t="e">
        <f>IF(#REF!="","",IF(AND($CE260&gt;0,#REF!="CARIGNAN N"),#REF!,0))</f>
        <v>#REF!</v>
      </c>
      <c r="CL260" s="7" t="e">
        <f>IF(#REF!="","",IF(AND($CE260&gt;0,#REF!="CABERNET SAUVIGNON N"),#REF!,0))</f>
        <v>#REF!</v>
      </c>
      <c r="CM260" s="7" t="e">
        <f>IF(#REF!="","",IF(AND($CE260&gt;0,#REF!="VERMENTINO B"),#REF!,0))</f>
        <v>#REF!</v>
      </c>
      <c r="CN260" s="7" t="e">
        <f>IF(#REF!="","",IF(AND($CE260&gt;0,#REF!="UGNI BLANC B"),#REF!,0))</f>
        <v>#REF!</v>
      </c>
      <c r="CO260" s="7" t="e">
        <f>IF(#REF!="","",IF(AND($CE260&gt;0,#REF!="CLAIRETTE B"),#REF!,0))</f>
        <v>#REF!</v>
      </c>
      <c r="CP260" s="7" t="e">
        <f>IF(#REF!="","",IF(AND($CE260&gt;0,#REF!="semillon B"),#REF!,0))</f>
        <v>#REF!</v>
      </c>
      <c r="CQ260" s="7" t="e">
        <f>IF(#REF!="","",IF(CE260=0,CC260,0))</f>
        <v>#REF!</v>
      </c>
      <c r="CR260" s="17"/>
      <c r="DE260"/>
    </row>
    <row r="261" spans="81:109" x14ac:dyDescent="0.25">
      <c r="CC261" s="7" t="e">
        <f>IF(#REF!="","",IF(#REF!="PF",#REF!,0))</f>
        <v>#REF!</v>
      </c>
      <c r="CD261" s="7" t="e">
        <f>IF(#REF!="","",IF(#REF!="PF",IF((#REF!+4)&lt;YEAR(#REF!),0,#REF!),0))</f>
        <v>#REF!</v>
      </c>
      <c r="CE261" s="7" t="e">
        <f>IF(#REF!="","",IF(AND(CD261&gt;0,#REF!&lt;&gt;""),CC261,0))</f>
        <v>#REF!</v>
      </c>
      <c r="CF261" s="7" t="e">
        <f>IF(#REF!="","",IF(AND($CE261&gt;0,#REF!= "GRENACHE N"),#REF!,0))</f>
        <v>#REF!</v>
      </c>
      <c r="CG261" s="7" t="e">
        <f>IF(#REF!="","",IF(AND($CE261&gt;0,#REF!="SYRAH N"),#REF!,0))</f>
        <v>#REF!</v>
      </c>
      <c r="CH261" s="7" t="e">
        <f>IF(#REF!="","",IF(AND($CE261&gt;0,#REF!="CINSAUT N"),#REF!,0))</f>
        <v>#REF!</v>
      </c>
      <c r="CI261" s="7" t="e">
        <f>IF(#REF!="","",IF(AND($CE261&gt;0,#REF!="TIBOUREN N"),#REF!,0))</f>
        <v>#REF!</v>
      </c>
      <c r="CJ261" s="7" t="e">
        <f>IF(#REF!="","",IF(AND($CE261&gt;0,#REF!="MOURVEDRE N"),#REF!,0))</f>
        <v>#REF!</v>
      </c>
      <c r="CK261" s="7" t="e">
        <f>IF(#REF!="","",IF(AND($CE261&gt;0,#REF!="CARIGNAN N"),#REF!,0))</f>
        <v>#REF!</v>
      </c>
      <c r="CL261" s="7" t="e">
        <f>IF(#REF!="","",IF(AND($CE261&gt;0,#REF!="CABERNET SAUVIGNON N"),#REF!,0))</f>
        <v>#REF!</v>
      </c>
      <c r="CM261" s="7" t="e">
        <f>IF(#REF!="","",IF(AND($CE261&gt;0,#REF!="VERMENTINO B"),#REF!,0))</f>
        <v>#REF!</v>
      </c>
      <c r="CN261" s="7" t="e">
        <f>IF(#REF!="","",IF(AND($CE261&gt;0,#REF!="UGNI BLANC B"),#REF!,0))</f>
        <v>#REF!</v>
      </c>
      <c r="CO261" s="7" t="e">
        <f>IF(#REF!="","",IF(AND($CE261&gt;0,#REF!="CLAIRETTE B"),#REF!,0))</f>
        <v>#REF!</v>
      </c>
      <c r="CP261" s="7" t="e">
        <f>IF(#REF!="","",IF(AND($CE261&gt;0,#REF!="semillon B"),#REF!,0))</f>
        <v>#REF!</v>
      </c>
      <c r="CQ261" s="7" t="e">
        <f>IF(#REF!="","",IF(CE261=0,CC261,0))</f>
        <v>#REF!</v>
      </c>
      <c r="CR261" s="17"/>
      <c r="DE261"/>
    </row>
    <row r="262" spans="81:109" x14ac:dyDescent="0.25">
      <c r="CC262" s="7" t="e">
        <f>IF(#REF!="","",IF(#REF!="PF",#REF!,0))</f>
        <v>#REF!</v>
      </c>
      <c r="CD262" s="7" t="e">
        <f>IF(#REF!="","",IF(#REF!="PF",IF((#REF!+4)&lt;YEAR(#REF!),0,#REF!),0))</f>
        <v>#REF!</v>
      </c>
      <c r="CE262" s="7" t="e">
        <f>IF(#REF!="","",IF(AND(CD262&gt;0,#REF!&lt;&gt;""),CC262,0))</f>
        <v>#REF!</v>
      </c>
      <c r="CF262" s="7" t="e">
        <f>IF(#REF!="","",IF(AND($CE262&gt;0,#REF!= "GRENACHE N"),#REF!,0))</f>
        <v>#REF!</v>
      </c>
      <c r="CG262" s="7" t="e">
        <f>IF(#REF!="","",IF(AND($CE262&gt;0,#REF!="SYRAH N"),#REF!,0))</f>
        <v>#REF!</v>
      </c>
      <c r="CH262" s="7" t="e">
        <f>IF(#REF!="","",IF(AND($CE262&gt;0,#REF!="CINSAUT N"),#REF!,0))</f>
        <v>#REF!</v>
      </c>
      <c r="CI262" s="7" t="e">
        <f>IF(#REF!="","",IF(AND($CE262&gt;0,#REF!="TIBOUREN N"),#REF!,0))</f>
        <v>#REF!</v>
      </c>
      <c r="CJ262" s="7" t="e">
        <f>IF(#REF!="","",IF(AND($CE262&gt;0,#REF!="MOURVEDRE N"),#REF!,0))</f>
        <v>#REF!</v>
      </c>
      <c r="CK262" s="7" t="e">
        <f>IF(#REF!="","",IF(AND($CE262&gt;0,#REF!="CARIGNAN N"),#REF!,0))</f>
        <v>#REF!</v>
      </c>
      <c r="CL262" s="7" t="e">
        <f>IF(#REF!="","",IF(AND($CE262&gt;0,#REF!="CABERNET SAUVIGNON N"),#REF!,0))</f>
        <v>#REF!</v>
      </c>
      <c r="CM262" s="7" t="e">
        <f>IF(#REF!="","",IF(AND($CE262&gt;0,#REF!="VERMENTINO B"),#REF!,0))</f>
        <v>#REF!</v>
      </c>
      <c r="CN262" s="7" t="e">
        <f>IF(#REF!="","",IF(AND($CE262&gt;0,#REF!="UGNI BLANC B"),#REF!,0))</f>
        <v>#REF!</v>
      </c>
      <c r="CO262" s="7" t="e">
        <f>IF(#REF!="","",IF(AND($CE262&gt;0,#REF!="CLAIRETTE B"),#REF!,0))</f>
        <v>#REF!</v>
      </c>
      <c r="CP262" s="7" t="e">
        <f>IF(#REF!="","",IF(AND($CE262&gt;0,#REF!="semillon B"),#REF!,0))</f>
        <v>#REF!</v>
      </c>
      <c r="CQ262" s="7" t="e">
        <f>IF(#REF!="","",IF(CE262=0,CC262,0))</f>
        <v>#REF!</v>
      </c>
      <c r="CR262" s="17"/>
      <c r="DE262"/>
    </row>
    <row r="263" spans="81:109" x14ac:dyDescent="0.25">
      <c r="CC263" s="7" t="e">
        <f>IF(#REF!="","",IF(#REF!="PF",#REF!,0))</f>
        <v>#REF!</v>
      </c>
      <c r="CD263" s="7" t="e">
        <f>IF(#REF!="","",IF(#REF!="PF",IF((#REF!+4)&lt;YEAR(#REF!),0,#REF!),0))</f>
        <v>#REF!</v>
      </c>
      <c r="CE263" s="7" t="e">
        <f>IF(#REF!="","",IF(AND(CD263&gt;0,#REF!&lt;&gt;""),CC263,0))</f>
        <v>#REF!</v>
      </c>
      <c r="CF263" s="7" t="e">
        <f>IF(#REF!="","",IF(AND($CE263&gt;0,#REF!= "GRENACHE N"),#REF!,0))</f>
        <v>#REF!</v>
      </c>
      <c r="CG263" s="7" t="e">
        <f>IF(#REF!="","",IF(AND($CE263&gt;0,#REF!="SYRAH N"),#REF!,0))</f>
        <v>#REF!</v>
      </c>
      <c r="CH263" s="7" t="e">
        <f>IF(#REF!="","",IF(AND($CE263&gt;0,#REF!="CINSAUT N"),#REF!,0))</f>
        <v>#REF!</v>
      </c>
      <c r="CI263" s="7" t="e">
        <f>IF(#REF!="","",IF(AND($CE263&gt;0,#REF!="TIBOUREN N"),#REF!,0))</f>
        <v>#REF!</v>
      </c>
      <c r="CJ263" s="7" t="e">
        <f>IF(#REF!="","",IF(AND($CE263&gt;0,#REF!="MOURVEDRE N"),#REF!,0))</f>
        <v>#REF!</v>
      </c>
      <c r="CK263" s="7" t="e">
        <f>IF(#REF!="","",IF(AND($CE263&gt;0,#REF!="CARIGNAN N"),#REF!,0))</f>
        <v>#REF!</v>
      </c>
      <c r="CL263" s="7" t="e">
        <f>IF(#REF!="","",IF(AND($CE263&gt;0,#REF!="CABERNET SAUVIGNON N"),#REF!,0))</f>
        <v>#REF!</v>
      </c>
      <c r="CM263" s="7" t="e">
        <f>IF(#REF!="","",IF(AND($CE263&gt;0,#REF!="VERMENTINO B"),#REF!,0))</f>
        <v>#REF!</v>
      </c>
      <c r="CN263" s="7" t="e">
        <f>IF(#REF!="","",IF(AND($CE263&gt;0,#REF!="UGNI BLANC B"),#REF!,0))</f>
        <v>#REF!</v>
      </c>
      <c r="CO263" s="7" t="e">
        <f>IF(#REF!="","",IF(AND($CE263&gt;0,#REF!="CLAIRETTE B"),#REF!,0))</f>
        <v>#REF!</v>
      </c>
      <c r="CP263" s="7" t="e">
        <f>IF(#REF!="","",IF(AND($CE263&gt;0,#REF!="semillon B"),#REF!,0))</f>
        <v>#REF!</v>
      </c>
      <c r="CQ263" s="7" t="e">
        <f>IF(#REF!="","",IF(CE263=0,CC263,0))</f>
        <v>#REF!</v>
      </c>
      <c r="CR263" s="17"/>
      <c r="DE263"/>
    </row>
    <row r="264" spans="81:109" x14ac:dyDescent="0.25">
      <c r="CC264" s="7" t="e">
        <f>IF(#REF!="","",IF(#REF!="PF",#REF!,0))</f>
        <v>#REF!</v>
      </c>
      <c r="CD264" s="7" t="e">
        <f>IF(#REF!="","",IF(#REF!="PF",IF((#REF!+4)&lt;YEAR(#REF!),0,#REF!),0))</f>
        <v>#REF!</v>
      </c>
      <c r="CE264" s="7" t="e">
        <f>IF(#REF!="","",IF(AND(CD264&gt;0,#REF!&lt;&gt;""),CC264,0))</f>
        <v>#REF!</v>
      </c>
      <c r="CF264" s="7" t="e">
        <f>IF(#REF!="","",IF(AND($CE264&gt;0,#REF!= "GRENACHE N"),#REF!,0))</f>
        <v>#REF!</v>
      </c>
      <c r="CG264" s="7" t="e">
        <f>IF(#REF!="","",IF(AND($CE264&gt;0,#REF!="SYRAH N"),#REF!,0))</f>
        <v>#REF!</v>
      </c>
      <c r="CH264" s="7" t="e">
        <f>IF(#REF!="","",IF(AND($CE264&gt;0,#REF!="CINSAUT N"),#REF!,0))</f>
        <v>#REF!</v>
      </c>
      <c r="CI264" s="7" t="e">
        <f>IF(#REF!="","",IF(AND($CE264&gt;0,#REF!="TIBOUREN N"),#REF!,0))</f>
        <v>#REF!</v>
      </c>
      <c r="CJ264" s="7" t="e">
        <f>IF(#REF!="","",IF(AND($CE264&gt;0,#REF!="MOURVEDRE N"),#REF!,0))</f>
        <v>#REF!</v>
      </c>
      <c r="CK264" s="7" t="e">
        <f>IF(#REF!="","",IF(AND($CE264&gt;0,#REF!="CARIGNAN N"),#REF!,0))</f>
        <v>#REF!</v>
      </c>
      <c r="CL264" s="7" t="e">
        <f>IF(#REF!="","",IF(AND($CE264&gt;0,#REF!="CABERNET SAUVIGNON N"),#REF!,0))</f>
        <v>#REF!</v>
      </c>
      <c r="CM264" s="7" t="e">
        <f>IF(#REF!="","",IF(AND($CE264&gt;0,#REF!="VERMENTINO B"),#REF!,0))</f>
        <v>#REF!</v>
      </c>
      <c r="CN264" s="7" t="e">
        <f>IF(#REF!="","",IF(AND($CE264&gt;0,#REF!="UGNI BLANC B"),#REF!,0))</f>
        <v>#REF!</v>
      </c>
      <c r="CO264" s="7" t="e">
        <f>IF(#REF!="","",IF(AND($CE264&gt;0,#REF!="CLAIRETTE B"),#REF!,0))</f>
        <v>#REF!</v>
      </c>
      <c r="CP264" s="7" t="e">
        <f>IF(#REF!="","",IF(AND($CE264&gt;0,#REF!="semillon B"),#REF!,0))</f>
        <v>#REF!</v>
      </c>
      <c r="CQ264" s="7" t="e">
        <f>IF(#REF!="","",IF(CE264=0,CC264,0))</f>
        <v>#REF!</v>
      </c>
      <c r="CR264" s="17"/>
      <c r="DE264"/>
    </row>
    <row r="265" spans="81:109" x14ac:dyDescent="0.25">
      <c r="CC265" s="7" t="e">
        <f>IF(#REF!="","",IF(#REF!="PF",#REF!,0))</f>
        <v>#REF!</v>
      </c>
      <c r="CD265" s="7" t="e">
        <f>IF(#REF!="","",IF(#REF!="PF",IF((#REF!+4)&lt;YEAR(#REF!),0,#REF!),0))</f>
        <v>#REF!</v>
      </c>
      <c r="CE265" s="7" t="e">
        <f>IF(#REF!="","",IF(AND(CD265&gt;0,#REF!&lt;&gt;""),CC265,0))</f>
        <v>#REF!</v>
      </c>
      <c r="CF265" s="7" t="e">
        <f>IF(#REF!="","",IF(AND($CE265&gt;0,#REF!= "GRENACHE N"),#REF!,0))</f>
        <v>#REF!</v>
      </c>
      <c r="CG265" s="7" t="e">
        <f>IF(#REF!="","",IF(AND($CE265&gt;0,#REF!="SYRAH N"),#REF!,0))</f>
        <v>#REF!</v>
      </c>
      <c r="CH265" s="7" t="e">
        <f>IF(#REF!="","",IF(AND($CE265&gt;0,#REF!="CINSAUT N"),#REF!,0))</f>
        <v>#REF!</v>
      </c>
      <c r="CI265" s="7" t="e">
        <f>IF(#REF!="","",IF(AND($CE265&gt;0,#REF!="TIBOUREN N"),#REF!,0))</f>
        <v>#REF!</v>
      </c>
      <c r="CJ265" s="7" t="e">
        <f>IF(#REF!="","",IF(AND($CE265&gt;0,#REF!="MOURVEDRE N"),#REF!,0))</f>
        <v>#REF!</v>
      </c>
      <c r="CK265" s="7" t="e">
        <f>IF(#REF!="","",IF(AND($CE265&gt;0,#REF!="CARIGNAN N"),#REF!,0))</f>
        <v>#REF!</v>
      </c>
      <c r="CL265" s="7" t="e">
        <f>IF(#REF!="","",IF(AND($CE265&gt;0,#REF!="CABERNET SAUVIGNON N"),#REF!,0))</f>
        <v>#REF!</v>
      </c>
      <c r="CM265" s="7" t="e">
        <f>IF(#REF!="","",IF(AND($CE265&gt;0,#REF!="VERMENTINO B"),#REF!,0))</f>
        <v>#REF!</v>
      </c>
      <c r="CN265" s="7" t="e">
        <f>IF(#REF!="","",IF(AND($CE265&gt;0,#REF!="UGNI BLANC B"),#REF!,0))</f>
        <v>#REF!</v>
      </c>
      <c r="CO265" s="7" t="e">
        <f>IF(#REF!="","",IF(AND($CE265&gt;0,#REF!="CLAIRETTE B"),#REF!,0))</f>
        <v>#REF!</v>
      </c>
      <c r="CP265" s="7" t="e">
        <f>IF(#REF!="","",IF(AND($CE265&gt;0,#REF!="semillon B"),#REF!,0))</f>
        <v>#REF!</v>
      </c>
      <c r="CQ265" s="7" t="e">
        <f>IF(#REF!="","",IF(CE265=0,CC265,0))</f>
        <v>#REF!</v>
      </c>
      <c r="CR265" s="17"/>
      <c r="DE265"/>
    </row>
    <row r="266" spans="81:109" x14ac:dyDescent="0.25">
      <c r="CC266" s="7" t="e">
        <f>IF(#REF!="","",IF(#REF!="PF",#REF!,0))</f>
        <v>#REF!</v>
      </c>
      <c r="CD266" s="7" t="e">
        <f>IF(#REF!="","",IF(#REF!="PF",IF((#REF!+4)&lt;YEAR(#REF!),0,#REF!),0))</f>
        <v>#REF!</v>
      </c>
      <c r="CE266" s="7" t="e">
        <f>IF(#REF!="","",IF(AND(CD266&gt;0,#REF!&lt;&gt;""),CC266,0))</f>
        <v>#REF!</v>
      </c>
      <c r="CF266" s="7" t="e">
        <f>IF(#REF!="","",IF(AND($CE266&gt;0,#REF!= "GRENACHE N"),#REF!,0))</f>
        <v>#REF!</v>
      </c>
      <c r="CG266" s="7" t="e">
        <f>IF(#REF!="","",IF(AND($CE266&gt;0,#REF!="SYRAH N"),#REF!,0))</f>
        <v>#REF!</v>
      </c>
      <c r="CH266" s="7" t="e">
        <f>IF(#REF!="","",IF(AND($CE266&gt;0,#REF!="CINSAUT N"),#REF!,0))</f>
        <v>#REF!</v>
      </c>
      <c r="CI266" s="7" t="e">
        <f>IF(#REF!="","",IF(AND($CE266&gt;0,#REF!="TIBOUREN N"),#REF!,0))</f>
        <v>#REF!</v>
      </c>
      <c r="CJ266" s="7" t="e">
        <f>IF(#REF!="","",IF(AND($CE266&gt;0,#REF!="MOURVEDRE N"),#REF!,0))</f>
        <v>#REF!</v>
      </c>
      <c r="CK266" s="7" t="e">
        <f>IF(#REF!="","",IF(AND($CE266&gt;0,#REF!="CARIGNAN N"),#REF!,0))</f>
        <v>#REF!</v>
      </c>
      <c r="CL266" s="7" t="e">
        <f>IF(#REF!="","",IF(AND($CE266&gt;0,#REF!="CABERNET SAUVIGNON N"),#REF!,0))</f>
        <v>#REF!</v>
      </c>
      <c r="CM266" s="7" t="e">
        <f>IF(#REF!="","",IF(AND($CE266&gt;0,#REF!="VERMENTINO B"),#REF!,0))</f>
        <v>#REF!</v>
      </c>
      <c r="CN266" s="7" t="e">
        <f>IF(#REF!="","",IF(AND($CE266&gt;0,#REF!="UGNI BLANC B"),#REF!,0))</f>
        <v>#REF!</v>
      </c>
      <c r="CO266" s="7" t="e">
        <f>IF(#REF!="","",IF(AND($CE266&gt;0,#REF!="CLAIRETTE B"),#REF!,0))</f>
        <v>#REF!</v>
      </c>
      <c r="CP266" s="7" t="e">
        <f>IF(#REF!="","",IF(AND($CE266&gt;0,#REF!="semillon B"),#REF!,0))</f>
        <v>#REF!</v>
      </c>
      <c r="CQ266" s="7" t="e">
        <f>IF(#REF!="","",IF(CE266=0,CC266,0))</f>
        <v>#REF!</v>
      </c>
      <c r="CR266" s="17"/>
      <c r="DE266"/>
    </row>
    <row r="267" spans="81:109" x14ac:dyDescent="0.25">
      <c r="CC267" s="7" t="e">
        <f>IF(#REF!="","",IF(#REF!="PF",#REF!,0))</f>
        <v>#REF!</v>
      </c>
      <c r="CD267" s="7" t="e">
        <f>IF(#REF!="","",IF(#REF!="PF",IF((#REF!+4)&lt;YEAR(#REF!),0,#REF!),0))</f>
        <v>#REF!</v>
      </c>
      <c r="CE267" s="7" t="e">
        <f>IF(#REF!="","",IF(AND(CD267&gt;0,#REF!&lt;&gt;""),CC267,0))</f>
        <v>#REF!</v>
      </c>
      <c r="CF267" s="7" t="e">
        <f>IF(#REF!="","",IF(AND($CE267&gt;0,#REF!= "GRENACHE N"),#REF!,0))</f>
        <v>#REF!</v>
      </c>
      <c r="CG267" s="7" t="e">
        <f>IF(#REF!="","",IF(AND($CE267&gt;0,#REF!="SYRAH N"),#REF!,0))</f>
        <v>#REF!</v>
      </c>
      <c r="CH267" s="7" t="e">
        <f>IF(#REF!="","",IF(AND($CE267&gt;0,#REF!="CINSAUT N"),#REF!,0))</f>
        <v>#REF!</v>
      </c>
      <c r="CI267" s="7" t="e">
        <f>IF(#REF!="","",IF(AND($CE267&gt;0,#REF!="TIBOUREN N"),#REF!,0))</f>
        <v>#REF!</v>
      </c>
      <c r="CJ267" s="7" t="e">
        <f>IF(#REF!="","",IF(AND($CE267&gt;0,#REF!="MOURVEDRE N"),#REF!,0))</f>
        <v>#REF!</v>
      </c>
      <c r="CK267" s="7" t="e">
        <f>IF(#REF!="","",IF(AND($CE267&gt;0,#REF!="CARIGNAN N"),#REF!,0))</f>
        <v>#REF!</v>
      </c>
      <c r="CL267" s="7" t="e">
        <f>IF(#REF!="","",IF(AND($CE267&gt;0,#REF!="CABERNET SAUVIGNON N"),#REF!,0))</f>
        <v>#REF!</v>
      </c>
      <c r="CM267" s="7" t="e">
        <f>IF(#REF!="","",IF(AND($CE267&gt;0,#REF!="VERMENTINO B"),#REF!,0))</f>
        <v>#REF!</v>
      </c>
      <c r="CN267" s="7" t="e">
        <f>IF(#REF!="","",IF(AND($CE267&gt;0,#REF!="UGNI BLANC B"),#REF!,0))</f>
        <v>#REF!</v>
      </c>
      <c r="CO267" s="7" t="e">
        <f>IF(#REF!="","",IF(AND($CE267&gt;0,#REF!="CLAIRETTE B"),#REF!,0))</f>
        <v>#REF!</v>
      </c>
      <c r="CP267" s="7" t="e">
        <f>IF(#REF!="","",IF(AND($CE267&gt;0,#REF!="semillon B"),#REF!,0))</f>
        <v>#REF!</v>
      </c>
      <c r="CQ267" s="7" t="e">
        <f>IF(#REF!="","",IF(CE267=0,CC267,0))</f>
        <v>#REF!</v>
      </c>
      <c r="CR267" s="17"/>
      <c r="DE267"/>
    </row>
    <row r="268" spans="81:109" x14ac:dyDescent="0.25">
      <c r="CC268" s="7" t="e">
        <f>IF(#REF!="","",IF(#REF!="PF",#REF!,0))</f>
        <v>#REF!</v>
      </c>
      <c r="CD268" s="7" t="e">
        <f>IF(#REF!="","",IF(#REF!="PF",IF((#REF!+4)&lt;YEAR(#REF!),0,#REF!),0))</f>
        <v>#REF!</v>
      </c>
      <c r="CE268" s="7" t="e">
        <f>IF(#REF!="","",IF(AND(CD268&gt;0,#REF!&lt;&gt;""),CC268,0))</f>
        <v>#REF!</v>
      </c>
      <c r="CF268" s="7" t="e">
        <f>IF(#REF!="","",IF(AND($CE268&gt;0,#REF!= "GRENACHE N"),#REF!,0))</f>
        <v>#REF!</v>
      </c>
      <c r="CG268" s="7" t="e">
        <f>IF(#REF!="","",IF(AND($CE268&gt;0,#REF!="SYRAH N"),#REF!,0))</f>
        <v>#REF!</v>
      </c>
      <c r="CH268" s="7" t="e">
        <f>IF(#REF!="","",IF(AND($CE268&gt;0,#REF!="CINSAUT N"),#REF!,0))</f>
        <v>#REF!</v>
      </c>
      <c r="CI268" s="7" t="e">
        <f>IF(#REF!="","",IF(AND($CE268&gt;0,#REF!="TIBOUREN N"),#REF!,0))</f>
        <v>#REF!</v>
      </c>
      <c r="CJ268" s="7" t="e">
        <f>IF(#REF!="","",IF(AND($CE268&gt;0,#REF!="MOURVEDRE N"),#REF!,0))</f>
        <v>#REF!</v>
      </c>
      <c r="CK268" s="7" t="e">
        <f>IF(#REF!="","",IF(AND($CE268&gt;0,#REF!="CARIGNAN N"),#REF!,0))</f>
        <v>#REF!</v>
      </c>
      <c r="CL268" s="7" t="e">
        <f>IF(#REF!="","",IF(AND($CE268&gt;0,#REF!="CABERNET SAUVIGNON N"),#REF!,0))</f>
        <v>#REF!</v>
      </c>
      <c r="CM268" s="7" t="e">
        <f>IF(#REF!="","",IF(AND($CE268&gt;0,#REF!="VERMENTINO B"),#REF!,0))</f>
        <v>#REF!</v>
      </c>
      <c r="CN268" s="7" t="e">
        <f>IF(#REF!="","",IF(AND($CE268&gt;0,#REF!="UGNI BLANC B"),#REF!,0))</f>
        <v>#REF!</v>
      </c>
      <c r="CO268" s="7" t="e">
        <f>IF(#REF!="","",IF(AND($CE268&gt;0,#REF!="CLAIRETTE B"),#REF!,0))</f>
        <v>#REF!</v>
      </c>
      <c r="CP268" s="7" t="e">
        <f>IF(#REF!="","",IF(AND($CE268&gt;0,#REF!="semillon B"),#REF!,0))</f>
        <v>#REF!</v>
      </c>
      <c r="CQ268" s="7" t="e">
        <f>IF(#REF!="","",IF(CE268=0,CC268,0))</f>
        <v>#REF!</v>
      </c>
      <c r="CR268" s="17"/>
      <c r="DE268"/>
    </row>
    <row r="269" spans="81:109" x14ac:dyDescent="0.25">
      <c r="CC269" s="7" t="e">
        <f>IF(#REF!="","",IF(#REF!="PF",#REF!,0))</f>
        <v>#REF!</v>
      </c>
      <c r="CD269" s="7" t="e">
        <f>IF(#REF!="","",IF(#REF!="PF",IF((#REF!+4)&lt;YEAR(#REF!),0,#REF!),0))</f>
        <v>#REF!</v>
      </c>
      <c r="CE269" s="7" t="e">
        <f>IF(#REF!="","",IF(AND(CD269&gt;0,#REF!&lt;&gt;""),CC269,0))</f>
        <v>#REF!</v>
      </c>
      <c r="CF269" s="7" t="e">
        <f>IF(#REF!="","",IF(AND($CE269&gt;0,#REF!= "GRENACHE N"),#REF!,0))</f>
        <v>#REF!</v>
      </c>
      <c r="CG269" s="7" t="e">
        <f>IF(#REF!="","",IF(AND($CE269&gt;0,#REF!="SYRAH N"),#REF!,0))</f>
        <v>#REF!</v>
      </c>
      <c r="CH269" s="7" t="e">
        <f>IF(#REF!="","",IF(AND($CE269&gt;0,#REF!="CINSAUT N"),#REF!,0))</f>
        <v>#REF!</v>
      </c>
      <c r="CI269" s="7" t="e">
        <f>IF(#REF!="","",IF(AND($CE269&gt;0,#REF!="TIBOUREN N"),#REF!,0))</f>
        <v>#REF!</v>
      </c>
      <c r="CJ269" s="7" t="e">
        <f>IF(#REF!="","",IF(AND($CE269&gt;0,#REF!="MOURVEDRE N"),#REF!,0))</f>
        <v>#REF!</v>
      </c>
      <c r="CK269" s="7" t="e">
        <f>IF(#REF!="","",IF(AND($CE269&gt;0,#REF!="CARIGNAN N"),#REF!,0))</f>
        <v>#REF!</v>
      </c>
      <c r="CL269" s="7" t="e">
        <f>IF(#REF!="","",IF(AND($CE269&gt;0,#REF!="CABERNET SAUVIGNON N"),#REF!,0))</f>
        <v>#REF!</v>
      </c>
      <c r="CM269" s="7" t="e">
        <f>IF(#REF!="","",IF(AND($CE269&gt;0,#REF!="VERMENTINO B"),#REF!,0))</f>
        <v>#REF!</v>
      </c>
      <c r="CN269" s="7" t="e">
        <f>IF(#REF!="","",IF(AND($CE269&gt;0,#REF!="UGNI BLANC B"),#REF!,0))</f>
        <v>#REF!</v>
      </c>
      <c r="CO269" s="7" t="e">
        <f>IF(#REF!="","",IF(AND($CE269&gt;0,#REF!="CLAIRETTE B"),#REF!,0))</f>
        <v>#REF!</v>
      </c>
      <c r="CP269" s="7" t="e">
        <f>IF(#REF!="","",IF(AND($CE269&gt;0,#REF!="semillon B"),#REF!,0))</f>
        <v>#REF!</v>
      </c>
      <c r="CQ269" s="7" t="e">
        <f>IF(#REF!="","",IF(CE269=0,CC269,0))</f>
        <v>#REF!</v>
      </c>
      <c r="CR269" s="17"/>
      <c r="DE269"/>
    </row>
    <row r="270" spans="81:109" x14ac:dyDescent="0.25">
      <c r="CC270" s="7" t="e">
        <f>IF(#REF!="","",IF(#REF!="PF",#REF!,0))</f>
        <v>#REF!</v>
      </c>
      <c r="CD270" s="7" t="e">
        <f>IF(#REF!="","",IF(#REF!="PF",IF((#REF!+4)&lt;YEAR(#REF!),0,#REF!),0))</f>
        <v>#REF!</v>
      </c>
      <c r="CE270" s="7" t="e">
        <f>IF(#REF!="","",IF(AND(CD270&gt;0,#REF!&lt;&gt;""),CC270,0))</f>
        <v>#REF!</v>
      </c>
      <c r="CF270" s="7" t="e">
        <f>IF(#REF!="","",IF(AND($CE270&gt;0,#REF!= "GRENACHE N"),#REF!,0))</f>
        <v>#REF!</v>
      </c>
      <c r="CG270" s="7" t="e">
        <f>IF(#REF!="","",IF(AND($CE270&gt;0,#REF!="SYRAH N"),#REF!,0))</f>
        <v>#REF!</v>
      </c>
      <c r="CH270" s="7" t="e">
        <f>IF(#REF!="","",IF(AND($CE270&gt;0,#REF!="CINSAUT N"),#REF!,0))</f>
        <v>#REF!</v>
      </c>
      <c r="CI270" s="7" t="e">
        <f>IF(#REF!="","",IF(AND($CE270&gt;0,#REF!="TIBOUREN N"),#REF!,0))</f>
        <v>#REF!</v>
      </c>
      <c r="CJ270" s="7" t="e">
        <f>IF(#REF!="","",IF(AND($CE270&gt;0,#REF!="MOURVEDRE N"),#REF!,0))</f>
        <v>#REF!</v>
      </c>
      <c r="CK270" s="7" t="e">
        <f>IF(#REF!="","",IF(AND($CE270&gt;0,#REF!="CARIGNAN N"),#REF!,0))</f>
        <v>#REF!</v>
      </c>
      <c r="CL270" s="7" t="e">
        <f>IF(#REF!="","",IF(AND($CE270&gt;0,#REF!="CABERNET SAUVIGNON N"),#REF!,0))</f>
        <v>#REF!</v>
      </c>
      <c r="CM270" s="7" t="e">
        <f>IF(#REF!="","",IF(AND($CE270&gt;0,#REF!="VERMENTINO B"),#REF!,0))</f>
        <v>#REF!</v>
      </c>
      <c r="CN270" s="7" t="e">
        <f>IF(#REF!="","",IF(AND($CE270&gt;0,#REF!="UGNI BLANC B"),#REF!,0))</f>
        <v>#REF!</v>
      </c>
      <c r="CO270" s="7" t="e">
        <f>IF(#REF!="","",IF(AND($CE270&gt;0,#REF!="CLAIRETTE B"),#REF!,0))</f>
        <v>#REF!</v>
      </c>
      <c r="CP270" s="7" t="e">
        <f>IF(#REF!="","",IF(AND($CE270&gt;0,#REF!="semillon B"),#REF!,0))</f>
        <v>#REF!</v>
      </c>
      <c r="CQ270" s="7" t="e">
        <f>IF(#REF!="","",IF(CE270=0,CC270,0))</f>
        <v>#REF!</v>
      </c>
      <c r="CR270" s="17"/>
      <c r="DE270"/>
    </row>
    <row r="271" spans="81:109" x14ac:dyDescent="0.25">
      <c r="CC271" s="7" t="e">
        <f>IF(#REF!="","",IF(#REF!="PF",#REF!,0))</f>
        <v>#REF!</v>
      </c>
      <c r="CD271" s="7" t="e">
        <f>IF(#REF!="","",IF(#REF!="PF",IF((#REF!+4)&lt;YEAR(#REF!),0,#REF!),0))</f>
        <v>#REF!</v>
      </c>
      <c r="CE271" s="7" t="e">
        <f>IF(#REF!="","",IF(AND(CD271&gt;0,#REF!&lt;&gt;""),CC271,0))</f>
        <v>#REF!</v>
      </c>
      <c r="CF271" s="7" t="e">
        <f>IF(#REF!="","",IF(AND($CE271&gt;0,#REF!= "GRENACHE N"),#REF!,0))</f>
        <v>#REF!</v>
      </c>
      <c r="CG271" s="7" t="e">
        <f>IF(#REF!="","",IF(AND($CE271&gt;0,#REF!="SYRAH N"),#REF!,0))</f>
        <v>#REF!</v>
      </c>
      <c r="CH271" s="7" t="e">
        <f>IF(#REF!="","",IF(AND($CE271&gt;0,#REF!="CINSAUT N"),#REF!,0))</f>
        <v>#REF!</v>
      </c>
      <c r="CI271" s="7" t="e">
        <f>IF(#REF!="","",IF(AND($CE271&gt;0,#REF!="TIBOUREN N"),#REF!,0))</f>
        <v>#REF!</v>
      </c>
      <c r="CJ271" s="7" t="e">
        <f>IF(#REF!="","",IF(AND($CE271&gt;0,#REF!="MOURVEDRE N"),#REF!,0))</f>
        <v>#REF!</v>
      </c>
      <c r="CK271" s="7" t="e">
        <f>IF(#REF!="","",IF(AND($CE271&gt;0,#REF!="CARIGNAN N"),#REF!,0))</f>
        <v>#REF!</v>
      </c>
      <c r="CL271" s="7" t="e">
        <f>IF(#REF!="","",IF(AND($CE271&gt;0,#REF!="CABERNET SAUVIGNON N"),#REF!,0))</f>
        <v>#REF!</v>
      </c>
      <c r="CM271" s="7" t="e">
        <f>IF(#REF!="","",IF(AND($CE271&gt;0,#REF!="VERMENTINO B"),#REF!,0))</f>
        <v>#REF!</v>
      </c>
      <c r="CN271" s="7" t="e">
        <f>IF(#REF!="","",IF(AND($CE271&gt;0,#REF!="UGNI BLANC B"),#REF!,0))</f>
        <v>#REF!</v>
      </c>
      <c r="CO271" s="7" t="e">
        <f>IF(#REF!="","",IF(AND($CE271&gt;0,#REF!="CLAIRETTE B"),#REF!,0))</f>
        <v>#REF!</v>
      </c>
      <c r="CP271" s="7" t="e">
        <f>IF(#REF!="","",IF(AND($CE271&gt;0,#REF!="semillon B"),#REF!,0))</f>
        <v>#REF!</v>
      </c>
      <c r="CQ271" s="7" t="e">
        <f>IF(#REF!="","",IF(CE271=0,CC271,0))</f>
        <v>#REF!</v>
      </c>
      <c r="CR271" s="17"/>
      <c r="DE271"/>
    </row>
    <row r="272" spans="81:109" x14ac:dyDescent="0.25">
      <c r="CC272" s="7" t="e">
        <f>IF(#REF!="","",IF(#REF!="PF",#REF!,0))</f>
        <v>#REF!</v>
      </c>
      <c r="CD272" s="7" t="e">
        <f>IF(#REF!="","",IF(#REF!="PF",IF((#REF!+4)&lt;YEAR(#REF!),0,#REF!),0))</f>
        <v>#REF!</v>
      </c>
      <c r="CE272" s="7" t="e">
        <f>IF(#REF!="","",IF(AND(CD272&gt;0,#REF!&lt;&gt;""),CC272,0))</f>
        <v>#REF!</v>
      </c>
      <c r="CF272" s="7" t="e">
        <f>IF(#REF!="","",IF(AND($CE272&gt;0,#REF!= "GRENACHE N"),#REF!,0))</f>
        <v>#REF!</v>
      </c>
      <c r="CG272" s="7" t="e">
        <f>IF(#REF!="","",IF(AND($CE272&gt;0,#REF!="SYRAH N"),#REF!,0))</f>
        <v>#REF!</v>
      </c>
      <c r="CH272" s="7" t="e">
        <f>IF(#REF!="","",IF(AND($CE272&gt;0,#REF!="CINSAUT N"),#REF!,0))</f>
        <v>#REF!</v>
      </c>
      <c r="CI272" s="7" t="e">
        <f>IF(#REF!="","",IF(AND($CE272&gt;0,#REF!="TIBOUREN N"),#REF!,0))</f>
        <v>#REF!</v>
      </c>
      <c r="CJ272" s="7" t="e">
        <f>IF(#REF!="","",IF(AND($CE272&gt;0,#REF!="MOURVEDRE N"),#REF!,0))</f>
        <v>#REF!</v>
      </c>
      <c r="CK272" s="7" t="e">
        <f>IF(#REF!="","",IF(AND($CE272&gt;0,#REF!="CARIGNAN N"),#REF!,0))</f>
        <v>#REF!</v>
      </c>
      <c r="CL272" s="7" t="e">
        <f>IF(#REF!="","",IF(AND($CE272&gt;0,#REF!="CABERNET SAUVIGNON N"),#REF!,0))</f>
        <v>#REF!</v>
      </c>
      <c r="CM272" s="7" t="e">
        <f>IF(#REF!="","",IF(AND($CE272&gt;0,#REF!="VERMENTINO B"),#REF!,0))</f>
        <v>#REF!</v>
      </c>
      <c r="CN272" s="7" t="e">
        <f>IF(#REF!="","",IF(AND($CE272&gt;0,#REF!="UGNI BLANC B"),#REF!,0))</f>
        <v>#REF!</v>
      </c>
      <c r="CO272" s="7" t="e">
        <f>IF(#REF!="","",IF(AND($CE272&gt;0,#REF!="CLAIRETTE B"),#REF!,0))</f>
        <v>#REF!</v>
      </c>
      <c r="CP272" s="7" t="e">
        <f>IF(#REF!="","",IF(AND($CE272&gt;0,#REF!="semillon B"),#REF!,0))</f>
        <v>#REF!</v>
      </c>
      <c r="CQ272" s="7" t="e">
        <f>IF(#REF!="","",IF(CE272=0,CC272,0))</f>
        <v>#REF!</v>
      </c>
      <c r="CR272" s="17"/>
      <c r="DE272"/>
    </row>
    <row r="273" spans="81:109" x14ac:dyDescent="0.25">
      <c r="CC273" s="7" t="e">
        <f>IF(#REF!="","",IF(#REF!="PF",#REF!,0))</f>
        <v>#REF!</v>
      </c>
      <c r="CD273" s="7" t="e">
        <f>IF(#REF!="","",IF(#REF!="PF",IF((#REF!+4)&lt;YEAR(#REF!),0,#REF!),0))</f>
        <v>#REF!</v>
      </c>
      <c r="CE273" s="7" t="e">
        <f>IF(#REF!="","",IF(AND(CD273&gt;0,#REF!&lt;&gt;""),CC273,0))</f>
        <v>#REF!</v>
      </c>
      <c r="CF273" s="7" t="e">
        <f>IF(#REF!="","",IF(AND($CE273&gt;0,#REF!= "GRENACHE N"),#REF!,0))</f>
        <v>#REF!</v>
      </c>
      <c r="CG273" s="7" t="e">
        <f>IF(#REF!="","",IF(AND($CE273&gt;0,#REF!="SYRAH N"),#REF!,0))</f>
        <v>#REF!</v>
      </c>
      <c r="CH273" s="7" t="e">
        <f>IF(#REF!="","",IF(AND($CE273&gt;0,#REF!="CINSAUT N"),#REF!,0))</f>
        <v>#REF!</v>
      </c>
      <c r="CI273" s="7" t="e">
        <f>IF(#REF!="","",IF(AND($CE273&gt;0,#REF!="TIBOUREN N"),#REF!,0))</f>
        <v>#REF!</v>
      </c>
      <c r="CJ273" s="7" t="e">
        <f>IF(#REF!="","",IF(AND($CE273&gt;0,#REF!="MOURVEDRE N"),#REF!,0))</f>
        <v>#REF!</v>
      </c>
      <c r="CK273" s="7" t="e">
        <f>IF(#REF!="","",IF(AND($CE273&gt;0,#REF!="CARIGNAN N"),#REF!,0))</f>
        <v>#REF!</v>
      </c>
      <c r="CL273" s="7" t="e">
        <f>IF(#REF!="","",IF(AND($CE273&gt;0,#REF!="CABERNET SAUVIGNON N"),#REF!,0))</f>
        <v>#REF!</v>
      </c>
      <c r="CM273" s="7" t="e">
        <f>IF(#REF!="","",IF(AND($CE273&gt;0,#REF!="VERMENTINO B"),#REF!,0))</f>
        <v>#REF!</v>
      </c>
      <c r="CN273" s="7" t="e">
        <f>IF(#REF!="","",IF(AND($CE273&gt;0,#REF!="UGNI BLANC B"),#REF!,0))</f>
        <v>#REF!</v>
      </c>
      <c r="CO273" s="7" t="e">
        <f>IF(#REF!="","",IF(AND($CE273&gt;0,#REF!="CLAIRETTE B"),#REF!,0))</f>
        <v>#REF!</v>
      </c>
      <c r="CP273" s="7" t="e">
        <f>IF(#REF!="","",IF(AND($CE273&gt;0,#REF!="semillon B"),#REF!,0))</f>
        <v>#REF!</v>
      </c>
      <c r="CQ273" s="7" t="e">
        <f>IF(#REF!="","",IF(CE273=0,CC273,0))</f>
        <v>#REF!</v>
      </c>
      <c r="CR273" s="17"/>
      <c r="DE273"/>
    </row>
    <row r="274" spans="81:109" x14ac:dyDescent="0.25">
      <c r="CC274" s="7" t="e">
        <f>IF(#REF!="","",IF(#REF!="PF",#REF!,0))</f>
        <v>#REF!</v>
      </c>
      <c r="CD274" s="7" t="e">
        <f>IF(#REF!="","",IF(#REF!="PF",IF((#REF!+4)&lt;YEAR(#REF!),0,#REF!),0))</f>
        <v>#REF!</v>
      </c>
      <c r="CE274" s="7" t="e">
        <f>IF(#REF!="","",IF(AND(CD274&gt;0,#REF!&lt;&gt;""),CC274,0))</f>
        <v>#REF!</v>
      </c>
      <c r="CF274" s="7" t="e">
        <f>IF(#REF!="","",IF(AND($CE274&gt;0,#REF!= "GRENACHE N"),#REF!,0))</f>
        <v>#REF!</v>
      </c>
      <c r="CG274" s="7" t="e">
        <f>IF(#REF!="","",IF(AND($CE274&gt;0,#REF!="SYRAH N"),#REF!,0))</f>
        <v>#REF!</v>
      </c>
      <c r="CH274" s="7" t="e">
        <f>IF(#REF!="","",IF(AND($CE274&gt;0,#REF!="CINSAUT N"),#REF!,0))</f>
        <v>#REF!</v>
      </c>
      <c r="CI274" s="7" t="e">
        <f>IF(#REF!="","",IF(AND($CE274&gt;0,#REF!="TIBOUREN N"),#REF!,0))</f>
        <v>#REF!</v>
      </c>
      <c r="CJ274" s="7" t="e">
        <f>IF(#REF!="","",IF(AND($CE274&gt;0,#REF!="MOURVEDRE N"),#REF!,0))</f>
        <v>#REF!</v>
      </c>
      <c r="CK274" s="7" t="e">
        <f>IF(#REF!="","",IF(AND($CE274&gt;0,#REF!="CARIGNAN N"),#REF!,0))</f>
        <v>#REF!</v>
      </c>
      <c r="CL274" s="7" t="e">
        <f>IF(#REF!="","",IF(AND($CE274&gt;0,#REF!="CABERNET SAUVIGNON N"),#REF!,0))</f>
        <v>#REF!</v>
      </c>
      <c r="CM274" s="7" t="e">
        <f>IF(#REF!="","",IF(AND($CE274&gt;0,#REF!="VERMENTINO B"),#REF!,0))</f>
        <v>#REF!</v>
      </c>
      <c r="CN274" s="7" t="e">
        <f>IF(#REF!="","",IF(AND($CE274&gt;0,#REF!="UGNI BLANC B"),#REF!,0))</f>
        <v>#REF!</v>
      </c>
      <c r="CO274" s="7" t="e">
        <f>IF(#REF!="","",IF(AND($CE274&gt;0,#REF!="CLAIRETTE B"),#REF!,0))</f>
        <v>#REF!</v>
      </c>
      <c r="CP274" s="7" t="e">
        <f>IF(#REF!="","",IF(AND($CE274&gt;0,#REF!="semillon B"),#REF!,0))</f>
        <v>#REF!</v>
      </c>
      <c r="CQ274" s="7" t="e">
        <f>IF(#REF!="","",IF(CE274=0,CC274,0))</f>
        <v>#REF!</v>
      </c>
      <c r="CR274" s="17"/>
      <c r="DE274"/>
    </row>
    <row r="275" spans="81:109" x14ac:dyDescent="0.25">
      <c r="CC275" s="7" t="e">
        <f>IF(#REF!="","",IF(#REF!="PF",#REF!,0))</f>
        <v>#REF!</v>
      </c>
      <c r="CD275" s="7" t="e">
        <f>IF(#REF!="","",IF(#REF!="PF",IF((#REF!+4)&lt;YEAR(#REF!),0,#REF!),0))</f>
        <v>#REF!</v>
      </c>
      <c r="CE275" s="7" t="e">
        <f>IF(#REF!="","",IF(AND(CD275&gt;0,#REF!&lt;&gt;""),CC275,0))</f>
        <v>#REF!</v>
      </c>
      <c r="CF275" s="7" t="e">
        <f>IF(#REF!="","",IF(AND($CE275&gt;0,#REF!= "GRENACHE N"),#REF!,0))</f>
        <v>#REF!</v>
      </c>
      <c r="CG275" s="7" t="e">
        <f>IF(#REF!="","",IF(AND($CE275&gt;0,#REF!="SYRAH N"),#REF!,0))</f>
        <v>#REF!</v>
      </c>
      <c r="CH275" s="7" t="e">
        <f>IF(#REF!="","",IF(AND($CE275&gt;0,#REF!="CINSAUT N"),#REF!,0))</f>
        <v>#REF!</v>
      </c>
      <c r="CI275" s="7" t="e">
        <f>IF(#REF!="","",IF(AND($CE275&gt;0,#REF!="TIBOUREN N"),#REF!,0))</f>
        <v>#REF!</v>
      </c>
      <c r="CJ275" s="7" t="e">
        <f>IF(#REF!="","",IF(AND($CE275&gt;0,#REF!="MOURVEDRE N"),#REF!,0))</f>
        <v>#REF!</v>
      </c>
      <c r="CK275" s="7" t="e">
        <f>IF(#REF!="","",IF(AND($CE275&gt;0,#REF!="CARIGNAN N"),#REF!,0))</f>
        <v>#REF!</v>
      </c>
      <c r="CL275" s="7" t="e">
        <f>IF(#REF!="","",IF(AND($CE275&gt;0,#REF!="CABERNET SAUVIGNON N"),#REF!,0))</f>
        <v>#REF!</v>
      </c>
      <c r="CM275" s="7" t="e">
        <f>IF(#REF!="","",IF(AND($CE275&gt;0,#REF!="VERMENTINO B"),#REF!,0))</f>
        <v>#REF!</v>
      </c>
      <c r="CN275" s="7" t="e">
        <f>IF(#REF!="","",IF(AND($CE275&gt;0,#REF!="UGNI BLANC B"),#REF!,0))</f>
        <v>#REF!</v>
      </c>
      <c r="CO275" s="7" t="e">
        <f>IF(#REF!="","",IF(AND($CE275&gt;0,#REF!="CLAIRETTE B"),#REF!,0))</f>
        <v>#REF!</v>
      </c>
      <c r="CP275" s="7" t="e">
        <f>IF(#REF!="","",IF(AND($CE275&gt;0,#REF!="semillon B"),#REF!,0))</f>
        <v>#REF!</v>
      </c>
      <c r="CQ275" s="7" t="e">
        <f>IF(#REF!="","",IF(CE275=0,CC275,0))</f>
        <v>#REF!</v>
      </c>
      <c r="CR275" s="17"/>
      <c r="DE275"/>
    </row>
    <row r="276" spans="81:109" x14ac:dyDescent="0.25">
      <c r="CC276" s="7" t="e">
        <f>IF(#REF!="","",IF(#REF!="PF",#REF!,0))</f>
        <v>#REF!</v>
      </c>
      <c r="CD276" s="7" t="e">
        <f>IF(#REF!="","",IF(#REF!="PF",IF((#REF!+4)&lt;YEAR(#REF!),0,#REF!),0))</f>
        <v>#REF!</v>
      </c>
      <c r="CE276" s="7" t="e">
        <f>IF(#REF!="","",IF(AND(CD276&gt;0,#REF!&lt;&gt;""),CC276,0))</f>
        <v>#REF!</v>
      </c>
      <c r="CF276" s="7" t="e">
        <f>IF(#REF!="","",IF(AND($CE276&gt;0,#REF!= "GRENACHE N"),#REF!,0))</f>
        <v>#REF!</v>
      </c>
      <c r="CG276" s="7" t="e">
        <f>IF(#REF!="","",IF(AND($CE276&gt;0,#REF!="SYRAH N"),#REF!,0))</f>
        <v>#REF!</v>
      </c>
      <c r="CH276" s="7" t="e">
        <f>IF(#REF!="","",IF(AND($CE276&gt;0,#REF!="CINSAUT N"),#REF!,0))</f>
        <v>#REF!</v>
      </c>
      <c r="CI276" s="7" t="e">
        <f>IF(#REF!="","",IF(AND($CE276&gt;0,#REF!="TIBOUREN N"),#REF!,0))</f>
        <v>#REF!</v>
      </c>
      <c r="CJ276" s="7" t="e">
        <f>IF(#REF!="","",IF(AND($CE276&gt;0,#REF!="MOURVEDRE N"),#REF!,0))</f>
        <v>#REF!</v>
      </c>
      <c r="CK276" s="7" t="e">
        <f>IF(#REF!="","",IF(AND($CE276&gt;0,#REF!="CARIGNAN N"),#REF!,0))</f>
        <v>#REF!</v>
      </c>
      <c r="CL276" s="7" t="e">
        <f>IF(#REF!="","",IF(AND($CE276&gt;0,#REF!="CABERNET SAUVIGNON N"),#REF!,0))</f>
        <v>#REF!</v>
      </c>
      <c r="CM276" s="7" t="e">
        <f>IF(#REF!="","",IF(AND($CE276&gt;0,#REF!="VERMENTINO B"),#REF!,0))</f>
        <v>#REF!</v>
      </c>
      <c r="CN276" s="7" t="e">
        <f>IF(#REF!="","",IF(AND($CE276&gt;0,#REF!="UGNI BLANC B"),#REF!,0))</f>
        <v>#REF!</v>
      </c>
      <c r="CO276" s="7" t="e">
        <f>IF(#REF!="","",IF(AND($CE276&gt;0,#REF!="CLAIRETTE B"),#REF!,0))</f>
        <v>#REF!</v>
      </c>
      <c r="CP276" s="7" t="e">
        <f>IF(#REF!="","",IF(AND($CE276&gt;0,#REF!="semillon B"),#REF!,0))</f>
        <v>#REF!</v>
      </c>
      <c r="CQ276" s="7" t="e">
        <f>IF(#REF!="","",IF(CE276=0,CC276,0))</f>
        <v>#REF!</v>
      </c>
      <c r="CR276" s="17"/>
      <c r="DE276"/>
    </row>
    <row r="277" spans="81:109" x14ac:dyDescent="0.25">
      <c r="CC277" s="7" t="e">
        <f>IF(#REF!="","",IF(#REF!="PF",#REF!,0))</f>
        <v>#REF!</v>
      </c>
      <c r="CD277" s="7" t="e">
        <f>IF(#REF!="","",IF(#REF!="PF",IF((#REF!+4)&lt;YEAR(#REF!),0,#REF!),0))</f>
        <v>#REF!</v>
      </c>
      <c r="CE277" s="7" t="e">
        <f>IF(#REF!="","",IF(AND(CD277&gt;0,#REF!&lt;&gt;""),CC277,0))</f>
        <v>#REF!</v>
      </c>
      <c r="CF277" s="7" t="e">
        <f>IF(#REF!="","",IF(AND($CE277&gt;0,#REF!= "GRENACHE N"),#REF!,0))</f>
        <v>#REF!</v>
      </c>
      <c r="CG277" s="7" t="e">
        <f>IF(#REF!="","",IF(AND($CE277&gt;0,#REF!="SYRAH N"),#REF!,0))</f>
        <v>#REF!</v>
      </c>
      <c r="CH277" s="7" t="e">
        <f>IF(#REF!="","",IF(AND($CE277&gt;0,#REF!="CINSAUT N"),#REF!,0))</f>
        <v>#REF!</v>
      </c>
      <c r="CI277" s="7" t="e">
        <f>IF(#REF!="","",IF(AND($CE277&gt;0,#REF!="TIBOUREN N"),#REF!,0))</f>
        <v>#REF!</v>
      </c>
      <c r="CJ277" s="7" t="e">
        <f>IF(#REF!="","",IF(AND($CE277&gt;0,#REF!="MOURVEDRE N"),#REF!,0))</f>
        <v>#REF!</v>
      </c>
      <c r="CK277" s="7" t="e">
        <f>IF(#REF!="","",IF(AND($CE277&gt;0,#REF!="CARIGNAN N"),#REF!,0))</f>
        <v>#REF!</v>
      </c>
      <c r="CL277" s="7" t="e">
        <f>IF(#REF!="","",IF(AND($CE277&gt;0,#REF!="CABERNET SAUVIGNON N"),#REF!,0))</f>
        <v>#REF!</v>
      </c>
      <c r="CM277" s="7" t="e">
        <f>IF(#REF!="","",IF(AND($CE277&gt;0,#REF!="VERMENTINO B"),#REF!,0))</f>
        <v>#REF!</v>
      </c>
      <c r="CN277" s="7" t="e">
        <f>IF(#REF!="","",IF(AND($CE277&gt;0,#REF!="UGNI BLANC B"),#REF!,0))</f>
        <v>#REF!</v>
      </c>
      <c r="CO277" s="7" t="e">
        <f>IF(#REF!="","",IF(AND($CE277&gt;0,#REF!="CLAIRETTE B"),#REF!,0))</f>
        <v>#REF!</v>
      </c>
      <c r="CP277" s="7" t="e">
        <f>IF(#REF!="","",IF(AND($CE277&gt;0,#REF!="semillon B"),#REF!,0))</f>
        <v>#REF!</v>
      </c>
      <c r="CQ277" s="7" t="e">
        <f>IF(#REF!="","",IF(CE277=0,CC277,0))</f>
        <v>#REF!</v>
      </c>
      <c r="CR277" s="17"/>
      <c r="DE277"/>
    </row>
    <row r="278" spans="81:109" x14ac:dyDescent="0.25">
      <c r="CC278" s="7" t="e">
        <f>IF(#REF!="","",IF(#REF!="PF",#REF!,0))</f>
        <v>#REF!</v>
      </c>
      <c r="CD278" s="7" t="e">
        <f>IF(#REF!="","",IF(#REF!="PF",IF((#REF!+4)&lt;YEAR(#REF!),0,#REF!),0))</f>
        <v>#REF!</v>
      </c>
      <c r="CE278" s="7" t="e">
        <f>IF(#REF!="","",IF(AND(CD278&gt;0,#REF!&lt;&gt;""),CC278,0))</f>
        <v>#REF!</v>
      </c>
      <c r="CF278" s="7" t="e">
        <f>IF(#REF!="","",IF(AND($CE278&gt;0,#REF!= "GRENACHE N"),#REF!,0))</f>
        <v>#REF!</v>
      </c>
      <c r="CG278" s="7" t="e">
        <f>IF(#REF!="","",IF(AND($CE278&gt;0,#REF!="SYRAH N"),#REF!,0))</f>
        <v>#REF!</v>
      </c>
      <c r="CH278" s="7" t="e">
        <f>IF(#REF!="","",IF(AND($CE278&gt;0,#REF!="CINSAUT N"),#REF!,0))</f>
        <v>#REF!</v>
      </c>
      <c r="CI278" s="7" t="e">
        <f>IF(#REF!="","",IF(AND($CE278&gt;0,#REF!="TIBOUREN N"),#REF!,0))</f>
        <v>#REF!</v>
      </c>
      <c r="CJ278" s="7" t="e">
        <f>IF(#REF!="","",IF(AND($CE278&gt;0,#REF!="MOURVEDRE N"),#REF!,0))</f>
        <v>#REF!</v>
      </c>
      <c r="CK278" s="7" t="e">
        <f>IF(#REF!="","",IF(AND($CE278&gt;0,#REF!="CARIGNAN N"),#REF!,0))</f>
        <v>#REF!</v>
      </c>
      <c r="CL278" s="7" t="e">
        <f>IF(#REF!="","",IF(AND($CE278&gt;0,#REF!="CABERNET SAUVIGNON N"),#REF!,0))</f>
        <v>#REF!</v>
      </c>
      <c r="CM278" s="7" t="e">
        <f>IF(#REF!="","",IF(AND($CE278&gt;0,#REF!="VERMENTINO B"),#REF!,0))</f>
        <v>#REF!</v>
      </c>
      <c r="CN278" s="7" t="e">
        <f>IF(#REF!="","",IF(AND($CE278&gt;0,#REF!="UGNI BLANC B"),#REF!,0))</f>
        <v>#REF!</v>
      </c>
      <c r="CO278" s="7" t="e">
        <f>IF(#REF!="","",IF(AND($CE278&gt;0,#REF!="CLAIRETTE B"),#REF!,0))</f>
        <v>#REF!</v>
      </c>
      <c r="CP278" s="7" t="e">
        <f>IF(#REF!="","",IF(AND($CE278&gt;0,#REF!="semillon B"),#REF!,0))</f>
        <v>#REF!</v>
      </c>
      <c r="CQ278" s="7" t="e">
        <f>IF(#REF!="","",IF(CE278=0,CC278,0))</f>
        <v>#REF!</v>
      </c>
      <c r="CR278" s="17"/>
      <c r="DE278"/>
    </row>
    <row r="279" spans="81:109" x14ac:dyDescent="0.25">
      <c r="CC279" s="7" t="e">
        <f>IF(#REF!="","",IF(#REF!="PF",#REF!,0))</f>
        <v>#REF!</v>
      </c>
      <c r="CD279" s="7" t="e">
        <f>IF(#REF!="","",IF(#REF!="PF",IF((#REF!+4)&lt;YEAR(#REF!),0,#REF!),0))</f>
        <v>#REF!</v>
      </c>
      <c r="CE279" s="7" t="e">
        <f>IF(#REF!="","",IF(AND(CD279&gt;0,#REF!&lt;&gt;""),CC279,0))</f>
        <v>#REF!</v>
      </c>
      <c r="CF279" s="7" t="e">
        <f>IF(#REF!="","",IF(AND($CE279&gt;0,#REF!= "GRENACHE N"),#REF!,0))</f>
        <v>#REF!</v>
      </c>
      <c r="CG279" s="7" t="e">
        <f>IF(#REF!="","",IF(AND($CE279&gt;0,#REF!="SYRAH N"),#REF!,0))</f>
        <v>#REF!</v>
      </c>
      <c r="CH279" s="7" t="e">
        <f>IF(#REF!="","",IF(AND($CE279&gt;0,#REF!="CINSAUT N"),#REF!,0))</f>
        <v>#REF!</v>
      </c>
      <c r="CI279" s="7" t="e">
        <f>IF(#REF!="","",IF(AND($CE279&gt;0,#REF!="TIBOUREN N"),#REF!,0))</f>
        <v>#REF!</v>
      </c>
      <c r="CJ279" s="7" t="e">
        <f>IF(#REF!="","",IF(AND($CE279&gt;0,#REF!="MOURVEDRE N"),#REF!,0))</f>
        <v>#REF!</v>
      </c>
      <c r="CK279" s="7" t="e">
        <f>IF(#REF!="","",IF(AND($CE279&gt;0,#REF!="CARIGNAN N"),#REF!,0))</f>
        <v>#REF!</v>
      </c>
      <c r="CL279" s="7" t="e">
        <f>IF(#REF!="","",IF(AND($CE279&gt;0,#REF!="CABERNET SAUVIGNON N"),#REF!,0))</f>
        <v>#REF!</v>
      </c>
      <c r="CM279" s="7" t="e">
        <f>IF(#REF!="","",IF(AND($CE279&gt;0,#REF!="VERMENTINO B"),#REF!,0))</f>
        <v>#REF!</v>
      </c>
      <c r="CN279" s="7" t="e">
        <f>IF(#REF!="","",IF(AND($CE279&gt;0,#REF!="UGNI BLANC B"),#REF!,0))</f>
        <v>#REF!</v>
      </c>
      <c r="CO279" s="7" t="e">
        <f>IF(#REF!="","",IF(AND($CE279&gt;0,#REF!="CLAIRETTE B"),#REF!,0))</f>
        <v>#REF!</v>
      </c>
      <c r="CP279" s="7" t="e">
        <f>IF(#REF!="","",IF(AND($CE279&gt;0,#REF!="semillon B"),#REF!,0))</f>
        <v>#REF!</v>
      </c>
      <c r="CQ279" s="7" t="e">
        <f>IF(#REF!="","",IF(CE279=0,CC279,0))</f>
        <v>#REF!</v>
      </c>
      <c r="CR279" s="17"/>
      <c r="DE279"/>
    </row>
    <row r="280" spans="81:109" x14ac:dyDescent="0.25">
      <c r="CC280" s="7" t="e">
        <f>IF(#REF!="","",IF(#REF!="PF",#REF!,0))</f>
        <v>#REF!</v>
      </c>
      <c r="CD280" s="7" t="e">
        <f>IF(#REF!="","",IF(#REF!="PF",IF((#REF!+4)&lt;YEAR(#REF!),0,#REF!),0))</f>
        <v>#REF!</v>
      </c>
      <c r="CE280" s="7" t="e">
        <f>IF(#REF!="","",IF(AND(CD280&gt;0,#REF!&lt;&gt;""),CC280,0))</f>
        <v>#REF!</v>
      </c>
      <c r="CF280" s="7" t="e">
        <f>IF(#REF!="","",IF(AND($CE280&gt;0,#REF!= "GRENACHE N"),#REF!,0))</f>
        <v>#REF!</v>
      </c>
      <c r="CG280" s="7" t="e">
        <f>IF(#REF!="","",IF(AND($CE280&gt;0,#REF!="SYRAH N"),#REF!,0))</f>
        <v>#REF!</v>
      </c>
      <c r="CH280" s="7" t="e">
        <f>IF(#REF!="","",IF(AND($CE280&gt;0,#REF!="CINSAUT N"),#REF!,0))</f>
        <v>#REF!</v>
      </c>
      <c r="CI280" s="7" t="e">
        <f>IF(#REF!="","",IF(AND($CE280&gt;0,#REF!="TIBOUREN N"),#REF!,0))</f>
        <v>#REF!</v>
      </c>
      <c r="CJ280" s="7" t="e">
        <f>IF(#REF!="","",IF(AND($CE280&gt;0,#REF!="MOURVEDRE N"),#REF!,0))</f>
        <v>#REF!</v>
      </c>
      <c r="CK280" s="7" t="e">
        <f>IF(#REF!="","",IF(AND($CE280&gt;0,#REF!="CARIGNAN N"),#REF!,0))</f>
        <v>#REF!</v>
      </c>
      <c r="CL280" s="7" t="e">
        <f>IF(#REF!="","",IF(AND($CE280&gt;0,#REF!="CABERNET SAUVIGNON N"),#REF!,0))</f>
        <v>#REF!</v>
      </c>
      <c r="CM280" s="7" t="e">
        <f>IF(#REF!="","",IF(AND($CE280&gt;0,#REF!="VERMENTINO B"),#REF!,0))</f>
        <v>#REF!</v>
      </c>
      <c r="CN280" s="7" t="e">
        <f>IF(#REF!="","",IF(AND($CE280&gt;0,#REF!="UGNI BLANC B"),#REF!,0))</f>
        <v>#REF!</v>
      </c>
      <c r="CO280" s="7" t="e">
        <f>IF(#REF!="","",IF(AND($CE280&gt;0,#REF!="CLAIRETTE B"),#REF!,0))</f>
        <v>#REF!</v>
      </c>
      <c r="CP280" s="7" t="e">
        <f>IF(#REF!="","",IF(AND($CE280&gt;0,#REF!="semillon B"),#REF!,0))</f>
        <v>#REF!</v>
      </c>
      <c r="CQ280" s="7" t="e">
        <f>IF(#REF!="","",IF(CE280=0,CC280,0))</f>
        <v>#REF!</v>
      </c>
      <c r="CR280" s="17"/>
      <c r="DE280"/>
    </row>
    <row r="281" spans="81:109" x14ac:dyDescent="0.25">
      <c r="CC281" s="7" t="e">
        <f>IF(#REF!="","",IF(#REF!="PF",#REF!,0))</f>
        <v>#REF!</v>
      </c>
      <c r="CD281" s="7" t="e">
        <f>IF(#REF!="","",IF(#REF!="PF",IF((#REF!+4)&lt;YEAR(#REF!),0,#REF!),0))</f>
        <v>#REF!</v>
      </c>
      <c r="CE281" s="7" t="e">
        <f>IF(#REF!="","",IF(AND(CD281&gt;0,#REF!&lt;&gt;""),CC281,0))</f>
        <v>#REF!</v>
      </c>
      <c r="CF281" s="7" t="e">
        <f>IF(#REF!="","",IF(AND($CE281&gt;0,#REF!= "GRENACHE N"),#REF!,0))</f>
        <v>#REF!</v>
      </c>
      <c r="CG281" s="7" t="e">
        <f>IF(#REF!="","",IF(AND($CE281&gt;0,#REF!="SYRAH N"),#REF!,0))</f>
        <v>#REF!</v>
      </c>
      <c r="CH281" s="7" t="e">
        <f>IF(#REF!="","",IF(AND($CE281&gt;0,#REF!="CINSAUT N"),#REF!,0))</f>
        <v>#REF!</v>
      </c>
      <c r="CI281" s="7" t="e">
        <f>IF(#REF!="","",IF(AND($CE281&gt;0,#REF!="TIBOUREN N"),#REF!,0))</f>
        <v>#REF!</v>
      </c>
      <c r="CJ281" s="7" t="e">
        <f>IF(#REF!="","",IF(AND($CE281&gt;0,#REF!="MOURVEDRE N"),#REF!,0))</f>
        <v>#REF!</v>
      </c>
      <c r="CK281" s="7" t="e">
        <f>IF(#REF!="","",IF(AND($CE281&gt;0,#REF!="CARIGNAN N"),#REF!,0))</f>
        <v>#REF!</v>
      </c>
      <c r="CL281" s="7" t="e">
        <f>IF(#REF!="","",IF(AND($CE281&gt;0,#REF!="CABERNET SAUVIGNON N"),#REF!,0))</f>
        <v>#REF!</v>
      </c>
      <c r="CM281" s="7" t="e">
        <f>IF(#REF!="","",IF(AND($CE281&gt;0,#REF!="VERMENTINO B"),#REF!,0))</f>
        <v>#REF!</v>
      </c>
      <c r="CN281" s="7" t="e">
        <f>IF(#REF!="","",IF(AND($CE281&gt;0,#REF!="UGNI BLANC B"),#REF!,0))</f>
        <v>#REF!</v>
      </c>
      <c r="CO281" s="7" t="e">
        <f>IF(#REF!="","",IF(AND($CE281&gt;0,#REF!="CLAIRETTE B"),#REF!,0))</f>
        <v>#REF!</v>
      </c>
      <c r="CP281" s="7" t="e">
        <f>IF(#REF!="","",IF(AND($CE281&gt;0,#REF!="semillon B"),#REF!,0))</f>
        <v>#REF!</v>
      </c>
      <c r="CQ281" s="7" t="e">
        <f>IF(#REF!="","",IF(CE281=0,CC281,0))</f>
        <v>#REF!</v>
      </c>
      <c r="CR281" s="17"/>
      <c r="DE281"/>
    </row>
    <row r="282" spans="81:109" x14ac:dyDescent="0.25">
      <c r="CC282" s="7" t="e">
        <f>IF(#REF!="","",IF(#REF!="PF",#REF!,0))</f>
        <v>#REF!</v>
      </c>
      <c r="CD282" s="7" t="e">
        <f>IF(#REF!="","",IF(#REF!="PF",IF((#REF!+4)&lt;YEAR(#REF!),0,#REF!),0))</f>
        <v>#REF!</v>
      </c>
      <c r="CE282" s="7" t="e">
        <f>IF(#REF!="","",IF(AND(CD282&gt;0,#REF!&lt;&gt;""),CC282,0))</f>
        <v>#REF!</v>
      </c>
      <c r="CF282" s="7" t="e">
        <f>IF(#REF!="","",IF(AND($CE282&gt;0,#REF!= "GRENACHE N"),#REF!,0))</f>
        <v>#REF!</v>
      </c>
      <c r="CG282" s="7" t="e">
        <f>IF(#REF!="","",IF(AND($CE282&gt;0,#REF!="SYRAH N"),#REF!,0))</f>
        <v>#REF!</v>
      </c>
      <c r="CH282" s="7" t="e">
        <f>IF(#REF!="","",IF(AND($CE282&gt;0,#REF!="CINSAUT N"),#REF!,0))</f>
        <v>#REF!</v>
      </c>
      <c r="CI282" s="7" t="e">
        <f>IF(#REF!="","",IF(AND($CE282&gt;0,#REF!="TIBOUREN N"),#REF!,0))</f>
        <v>#REF!</v>
      </c>
      <c r="CJ282" s="7" t="e">
        <f>IF(#REF!="","",IF(AND($CE282&gt;0,#REF!="MOURVEDRE N"),#REF!,0))</f>
        <v>#REF!</v>
      </c>
      <c r="CK282" s="7" t="e">
        <f>IF(#REF!="","",IF(AND($CE282&gt;0,#REF!="CARIGNAN N"),#REF!,0))</f>
        <v>#REF!</v>
      </c>
      <c r="CL282" s="7" t="e">
        <f>IF(#REF!="","",IF(AND($CE282&gt;0,#REF!="CABERNET SAUVIGNON N"),#REF!,0))</f>
        <v>#REF!</v>
      </c>
      <c r="CM282" s="7" t="e">
        <f>IF(#REF!="","",IF(AND($CE282&gt;0,#REF!="VERMENTINO B"),#REF!,0))</f>
        <v>#REF!</v>
      </c>
      <c r="CN282" s="7" t="e">
        <f>IF(#REF!="","",IF(AND($CE282&gt;0,#REF!="UGNI BLANC B"),#REF!,0))</f>
        <v>#REF!</v>
      </c>
      <c r="CO282" s="7" t="e">
        <f>IF(#REF!="","",IF(AND($CE282&gt;0,#REF!="CLAIRETTE B"),#REF!,0))</f>
        <v>#REF!</v>
      </c>
      <c r="CP282" s="7" t="e">
        <f>IF(#REF!="","",IF(AND($CE282&gt;0,#REF!="semillon B"),#REF!,0))</f>
        <v>#REF!</v>
      </c>
      <c r="CQ282" s="7" t="e">
        <f>IF(#REF!="","",IF(CE282=0,CC282,0))</f>
        <v>#REF!</v>
      </c>
      <c r="CR282" s="17"/>
      <c r="DE282"/>
    </row>
    <row r="283" spans="81:109" x14ac:dyDescent="0.25">
      <c r="CC283" s="7" t="e">
        <f>IF(#REF!="","",IF(#REF!="PF",#REF!,0))</f>
        <v>#REF!</v>
      </c>
      <c r="CD283" s="7" t="e">
        <f>IF(#REF!="","",IF(#REF!="PF",IF((#REF!+4)&lt;YEAR(#REF!),0,#REF!),0))</f>
        <v>#REF!</v>
      </c>
      <c r="CE283" s="7" t="e">
        <f>IF(#REF!="","",IF(AND(CD283&gt;0,#REF!&lt;&gt;""),CC283,0))</f>
        <v>#REF!</v>
      </c>
      <c r="CF283" s="7" t="e">
        <f>IF(#REF!="","",IF(AND($CE283&gt;0,#REF!= "GRENACHE N"),#REF!,0))</f>
        <v>#REF!</v>
      </c>
      <c r="CG283" s="7" t="e">
        <f>IF(#REF!="","",IF(AND($CE283&gt;0,#REF!="SYRAH N"),#REF!,0))</f>
        <v>#REF!</v>
      </c>
      <c r="CH283" s="7" t="e">
        <f>IF(#REF!="","",IF(AND($CE283&gt;0,#REF!="CINSAUT N"),#REF!,0))</f>
        <v>#REF!</v>
      </c>
      <c r="CI283" s="7" t="e">
        <f>IF(#REF!="","",IF(AND($CE283&gt;0,#REF!="TIBOUREN N"),#REF!,0))</f>
        <v>#REF!</v>
      </c>
      <c r="CJ283" s="7" t="e">
        <f>IF(#REF!="","",IF(AND($CE283&gt;0,#REF!="MOURVEDRE N"),#REF!,0))</f>
        <v>#REF!</v>
      </c>
      <c r="CK283" s="7" t="e">
        <f>IF(#REF!="","",IF(AND($CE283&gt;0,#REF!="CARIGNAN N"),#REF!,0))</f>
        <v>#REF!</v>
      </c>
      <c r="CL283" s="7" t="e">
        <f>IF(#REF!="","",IF(AND($CE283&gt;0,#REF!="CABERNET SAUVIGNON N"),#REF!,0))</f>
        <v>#REF!</v>
      </c>
      <c r="CM283" s="7" t="e">
        <f>IF(#REF!="","",IF(AND($CE283&gt;0,#REF!="VERMENTINO B"),#REF!,0))</f>
        <v>#REF!</v>
      </c>
      <c r="CN283" s="7" t="e">
        <f>IF(#REF!="","",IF(AND($CE283&gt;0,#REF!="UGNI BLANC B"),#REF!,0))</f>
        <v>#REF!</v>
      </c>
      <c r="CO283" s="7" t="e">
        <f>IF(#REF!="","",IF(AND($CE283&gt;0,#REF!="CLAIRETTE B"),#REF!,0))</f>
        <v>#REF!</v>
      </c>
      <c r="CP283" s="7" t="e">
        <f>IF(#REF!="","",IF(AND($CE283&gt;0,#REF!="semillon B"),#REF!,0))</f>
        <v>#REF!</v>
      </c>
      <c r="CQ283" s="7" t="e">
        <f>IF(#REF!="","",IF(CE283=0,CC283,0))</f>
        <v>#REF!</v>
      </c>
      <c r="CR283" s="17"/>
      <c r="DE283"/>
    </row>
    <row r="284" spans="81:109" x14ac:dyDescent="0.25">
      <c r="CC284" s="7" t="e">
        <f>IF(#REF!="","",IF(#REF!="PF",#REF!,0))</f>
        <v>#REF!</v>
      </c>
      <c r="CD284" s="7" t="e">
        <f>IF(#REF!="","",IF(#REF!="PF",IF((#REF!+4)&lt;YEAR(#REF!),0,#REF!),0))</f>
        <v>#REF!</v>
      </c>
      <c r="CE284" s="7" t="e">
        <f>IF(#REF!="","",IF(AND(CD284&gt;0,#REF!&lt;&gt;""),CC284,0))</f>
        <v>#REF!</v>
      </c>
      <c r="CF284" s="7" t="e">
        <f>IF(#REF!="","",IF(AND($CE284&gt;0,#REF!= "GRENACHE N"),#REF!,0))</f>
        <v>#REF!</v>
      </c>
      <c r="CG284" s="7" t="e">
        <f>IF(#REF!="","",IF(AND($CE284&gt;0,#REF!="SYRAH N"),#REF!,0))</f>
        <v>#REF!</v>
      </c>
      <c r="CH284" s="7" t="e">
        <f>IF(#REF!="","",IF(AND($CE284&gt;0,#REF!="CINSAUT N"),#REF!,0))</f>
        <v>#REF!</v>
      </c>
      <c r="CI284" s="7" t="e">
        <f>IF(#REF!="","",IF(AND($CE284&gt;0,#REF!="TIBOUREN N"),#REF!,0))</f>
        <v>#REF!</v>
      </c>
      <c r="CJ284" s="7" t="e">
        <f>IF(#REF!="","",IF(AND($CE284&gt;0,#REF!="MOURVEDRE N"),#REF!,0))</f>
        <v>#REF!</v>
      </c>
      <c r="CK284" s="7" t="e">
        <f>IF(#REF!="","",IF(AND($CE284&gt;0,#REF!="CARIGNAN N"),#REF!,0))</f>
        <v>#REF!</v>
      </c>
      <c r="CL284" s="7" t="e">
        <f>IF(#REF!="","",IF(AND($CE284&gt;0,#REF!="CABERNET SAUVIGNON N"),#REF!,0))</f>
        <v>#REF!</v>
      </c>
      <c r="CM284" s="7" t="e">
        <f>IF(#REF!="","",IF(AND($CE284&gt;0,#REF!="VERMENTINO B"),#REF!,0))</f>
        <v>#REF!</v>
      </c>
      <c r="CN284" s="7" t="e">
        <f>IF(#REF!="","",IF(AND($CE284&gt;0,#REF!="UGNI BLANC B"),#REF!,0))</f>
        <v>#REF!</v>
      </c>
      <c r="CO284" s="7" t="e">
        <f>IF(#REF!="","",IF(AND($CE284&gt;0,#REF!="CLAIRETTE B"),#REF!,0))</f>
        <v>#REF!</v>
      </c>
      <c r="CP284" s="7" t="e">
        <f>IF(#REF!="","",IF(AND($CE284&gt;0,#REF!="semillon B"),#REF!,0))</f>
        <v>#REF!</v>
      </c>
      <c r="CQ284" s="7" t="e">
        <f>IF(#REF!="","",IF(CE284=0,CC284,0))</f>
        <v>#REF!</v>
      </c>
      <c r="CR284" s="17"/>
      <c r="DE284"/>
    </row>
    <row r="285" spans="81:109" x14ac:dyDescent="0.25">
      <c r="CC285" s="7" t="e">
        <f>IF(#REF!="","",IF(#REF!="PF",#REF!,0))</f>
        <v>#REF!</v>
      </c>
      <c r="CD285" s="7" t="e">
        <f>IF(#REF!="","",IF(#REF!="PF",IF((#REF!+4)&lt;YEAR(#REF!),0,#REF!),0))</f>
        <v>#REF!</v>
      </c>
      <c r="CE285" s="7" t="e">
        <f>IF(#REF!="","",IF(AND(CD285&gt;0,#REF!&lt;&gt;""),CC285,0))</f>
        <v>#REF!</v>
      </c>
      <c r="CF285" s="7" t="e">
        <f>IF(#REF!="","",IF(AND($CE285&gt;0,#REF!= "GRENACHE N"),#REF!,0))</f>
        <v>#REF!</v>
      </c>
      <c r="CG285" s="7" t="e">
        <f>IF(#REF!="","",IF(AND($CE285&gt;0,#REF!="SYRAH N"),#REF!,0))</f>
        <v>#REF!</v>
      </c>
      <c r="CH285" s="7" t="e">
        <f>IF(#REF!="","",IF(AND($CE285&gt;0,#REF!="CINSAUT N"),#REF!,0))</f>
        <v>#REF!</v>
      </c>
      <c r="CI285" s="7" t="e">
        <f>IF(#REF!="","",IF(AND($CE285&gt;0,#REF!="TIBOUREN N"),#REF!,0))</f>
        <v>#REF!</v>
      </c>
      <c r="CJ285" s="7" t="e">
        <f>IF(#REF!="","",IF(AND($CE285&gt;0,#REF!="MOURVEDRE N"),#REF!,0))</f>
        <v>#REF!</v>
      </c>
      <c r="CK285" s="7" t="e">
        <f>IF(#REF!="","",IF(AND($CE285&gt;0,#REF!="CARIGNAN N"),#REF!,0))</f>
        <v>#REF!</v>
      </c>
      <c r="CL285" s="7" t="e">
        <f>IF(#REF!="","",IF(AND($CE285&gt;0,#REF!="CABERNET SAUVIGNON N"),#REF!,0))</f>
        <v>#REF!</v>
      </c>
      <c r="CM285" s="7" t="e">
        <f>IF(#REF!="","",IF(AND($CE285&gt;0,#REF!="VERMENTINO B"),#REF!,0))</f>
        <v>#REF!</v>
      </c>
      <c r="CN285" s="7" t="e">
        <f>IF(#REF!="","",IF(AND($CE285&gt;0,#REF!="UGNI BLANC B"),#REF!,0))</f>
        <v>#REF!</v>
      </c>
      <c r="CO285" s="7" t="e">
        <f>IF(#REF!="","",IF(AND($CE285&gt;0,#REF!="CLAIRETTE B"),#REF!,0))</f>
        <v>#REF!</v>
      </c>
      <c r="CP285" s="7" t="e">
        <f>IF(#REF!="","",IF(AND($CE285&gt;0,#REF!="semillon B"),#REF!,0))</f>
        <v>#REF!</v>
      </c>
      <c r="CQ285" s="7" t="e">
        <f>IF(#REF!="","",IF(CE285=0,CC285,0))</f>
        <v>#REF!</v>
      </c>
      <c r="CR285" s="17"/>
      <c r="DE285"/>
    </row>
    <row r="286" spans="81:109" x14ac:dyDescent="0.25">
      <c r="CC286" s="7" t="e">
        <f>IF(#REF!="","",IF(#REF!="PF",#REF!,0))</f>
        <v>#REF!</v>
      </c>
      <c r="CD286" s="7" t="e">
        <f>IF(#REF!="","",IF(#REF!="PF",IF((#REF!+4)&lt;YEAR(#REF!),0,#REF!),0))</f>
        <v>#REF!</v>
      </c>
      <c r="CE286" s="7" t="e">
        <f>IF(#REF!="","",IF(AND(CD286&gt;0,#REF!&lt;&gt;""),CC286,0))</f>
        <v>#REF!</v>
      </c>
      <c r="CF286" s="7" t="e">
        <f>IF(#REF!="","",IF(AND($CE286&gt;0,#REF!= "GRENACHE N"),#REF!,0))</f>
        <v>#REF!</v>
      </c>
      <c r="CG286" s="7" t="e">
        <f>IF(#REF!="","",IF(AND($CE286&gt;0,#REF!="SYRAH N"),#REF!,0))</f>
        <v>#REF!</v>
      </c>
      <c r="CH286" s="7" t="e">
        <f>IF(#REF!="","",IF(AND($CE286&gt;0,#REF!="CINSAUT N"),#REF!,0))</f>
        <v>#REF!</v>
      </c>
      <c r="CI286" s="7" t="e">
        <f>IF(#REF!="","",IF(AND($CE286&gt;0,#REF!="TIBOUREN N"),#REF!,0))</f>
        <v>#REF!</v>
      </c>
      <c r="CJ286" s="7" t="e">
        <f>IF(#REF!="","",IF(AND($CE286&gt;0,#REF!="MOURVEDRE N"),#REF!,0))</f>
        <v>#REF!</v>
      </c>
      <c r="CK286" s="7" t="e">
        <f>IF(#REF!="","",IF(AND($CE286&gt;0,#REF!="CARIGNAN N"),#REF!,0))</f>
        <v>#REF!</v>
      </c>
      <c r="CL286" s="7" t="e">
        <f>IF(#REF!="","",IF(AND($CE286&gt;0,#REF!="CABERNET SAUVIGNON N"),#REF!,0))</f>
        <v>#REF!</v>
      </c>
      <c r="CM286" s="7" t="e">
        <f>IF(#REF!="","",IF(AND($CE286&gt;0,#REF!="VERMENTINO B"),#REF!,0))</f>
        <v>#REF!</v>
      </c>
      <c r="CN286" s="7" t="e">
        <f>IF(#REF!="","",IF(AND($CE286&gt;0,#REF!="UGNI BLANC B"),#REF!,0))</f>
        <v>#REF!</v>
      </c>
      <c r="CO286" s="7" t="e">
        <f>IF(#REF!="","",IF(AND($CE286&gt;0,#REF!="CLAIRETTE B"),#REF!,0))</f>
        <v>#REF!</v>
      </c>
      <c r="CP286" s="7" t="e">
        <f>IF(#REF!="","",IF(AND($CE286&gt;0,#REF!="semillon B"),#REF!,0))</f>
        <v>#REF!</v>
      </c>
      <c r="CQ286" s="7" t="e">
        <f>IF(#REF!="","",IF(CE286=0,CC286,0))</f>
        <v>#REF!</v>
      </c>
      <c r="CR286" s="17"/>
      <c r="DE286"/>
    </row>
    <row r="287" spans="81:109" x14ac:dyDescent="0.25">
      <c r="CC287" s="7" t="e">
        <f>IF(#REF!="","",IF(#REF!="PF",#REF!,0))</f>
        <v>#REF!</v>
      </c>
      <c r="CD287" s="7" t="e">
        <f>IF(#REF!="","",IF(#REF!="PF",IF((#REF!+4)&lt;YEAR(#REF!),0,#REF!),0))</f>
        <v>#REF!</v>
      </c>
      <c r="CE287" s="7" t="e">
        <f>IF(#REF!="","",IF(AND(CD287&gt;0,#REF!&lt;&gt;""),CC287,0))</f>
        <v>#REF!</v>
      </c>
      <c r="CF287" s="7" t="e">
        <f>IF(#REF!="","",IF(AND($CE287&gt;0,#REF!= "GRENACHE N"),#REF!,0))</f>
        <v>#REF!</v>
      </c>
      <c r="CG287" s="7" t="e">
        <f>IF(#REF!="","",IF(AND($CE287&gt;0,#REF!="SYRAH N"),#REF!,0))</f>
        <v>#REF!</v>
      </c>
      <c r="CH287" s="7" t="e">
        <f>IF(#REF!="","",IF(AND($CE287&gt;0,#REF!="CINSAUT N"),#REF!,0))</f>
        <v>#REF!</v>
      </c>
      <c r="CI287" s="7" t="e">
        <f>IF(#REF!="","",IF(AND($CE287&gt;0,#REF!="TIBOUREN N"),#REF!,0))</f>
        <v>#REF!</v>
      </c>
      <c r="CJ287" s="7" t="e">
        <f>IF(#REF!="","",IF(AND($CE287&gt;0,#REF!="MOURVEDRE N"),#REF!,0))</f>
        <v>#REF!</v>
      </c>
      <c r="CK287" s="7" t="e">
        <f>IF(#REF!="","",IF(AND($CE287&gt;0,#REF!="CARIGNAN N"),#REF!,0))</f>
        <v>#REF!</v>
      </c>
      <c r="CL287" s="7" t="e">
        <f>IF(#REF!="","",IF(AND($CE287&gt;0,#REF!="CABERNET SAUVIGNON N"),#REF!,0))</f>
        <v>#REF!</v>
      </c>
      <c r="CM287" s="7" t="e">
        <f>IF(#REF!="","",IF(AND($CE287&gt;0,#REF!="VERMENTINO B"),#REF!,0))</f>
        <v>#REF!</v>
      </c>
      <c r="CN287" s="7" t="e">
        <f>IF(#REF!="","",IF(AND($CE287&gt;0,#REF!="UGNI BLANC B"),#REF!,0))</f>
        <v>#REF!</v>
      </c>
      <c r="CO287" s="7" t="e">
        <f>IF(#REF!="","",IF(AND($CE287&gt;0,#REF!="CLAIRETTE B"),#REF!,0))</f>
        <v>#REF!</v>
      </c>
      <c r="CP287" s="7" t="e">
        <f>IF(#REF!="","",IF(AND($CE287&gt;0,#REF!="semillon B"),#REF!,0))</f>
        <v>#REF!</v>
      </c>
      <c r="CQ287" s="7" t="e">
        <f>IF(#REF!="","",IF(CE287=0,CC287,0))</f>
        <v>#REF!</v>
      </c>
      <c r="CR287" s="17"/>
      <c r="DE287"/>
    </row>
    <row r="288" spans="81:109" x14ac:dyDescent="0.25">
      <c r="CC288" s="7" t="e">
        <f>IF(#REF!="","",IF(#REF!="PF",#REF!,0))</f>
        <v>#REF!</v>
      </c>
      <c r="CD288" s="7" t="e">
        <f>IF(#REF!="","",IF(#REF!="PF",IF((#REF!+4)&lt;YEAR(#REF!),0,#REF!),0))</f>
        <v>#REF!</v>
      </c>
      <c r="CE288" s="7" t="e">
        <f>IF(#REF!="","",IF(AND(CD288&gt;0,#REF!&lt;&gt;""),CC288,0))</f>
        <v>#REF!</v>
      </c>
      <c r="CF288" s="7" t="e">
        <f>IF(#REF!="","",IF(AND($CE288&gt;0,#REF!= "GRENACHE N"),#REF!,0))</f>
        <v>#REF!</v>
      </c>
      <c r="CG288" s="7" t="e">
        <f>IF(#REF!="","",IF(AND($CE288&gt;0,#REF!="SYRAH N"),#REF!,0))</f>
        <v>#REF!</v>
      </c>
      <c r="CH288" s="7" t="e">
        <f>IF(#REF!="","",IF(AND($CE288&gt;0,#REF!="CINSAUT N"),#REF!,0))</f>
        <v>#REF!</v>
      </c>
      <c r="CI288" s="7" t="e">
        <f>IF(#REF!="","",IF(AND($CE288&gt;0,#REF!="TIBOUREN N"),#REF!,0))</f>
        <v>#REF!</v>
      </c>
      <c r="CJ288" s="7" t="e">
        <f>IF(#REF!="","",IF(AND($CE288&gt;0,#REF!="MOURVEDRE N"),#REF!,0))</f>
        <v>#REF!</v>
      </c>
      <c r="CK288" s="7" t="e">
        <f>IF(#REF!="","",IF(AND($CE288&gt;0,#REF!="CARIGNAN N"),#REF!,0))</f>
        <v>#REF!</v>
      </c>
      <c r="CL288" s="7" t="e">
        <f>IF(#REF!="","",IF(AND($CE288&gt;0,#REF!="CABERNET SAUVIGNON N"),#REF!,0))</f>
        <v>#REF!</v>
      </c>
      <c r="CM288" s="7" t="e">
        <f>IF(#REF!="","",IF(AND($CE288&gt;0,#REF!="VERMENTINO B"),#REF!,0))</f>
        <v>#REF!</v>
      </c>
      <c r="CN288" s="7" t="e">
        <f>IF(#REF!="","",IF(AND($CE288&gt;0,#REF!="UGNI BLANC B"),#REF!,0))</f>
        <v>#REF!</v>
      </c>
      <c r="CO288" s="7" t="e">
        <f>IF(#REF!="","",IF(AND($CE288&gt;0,#REF!="CLAIRETTE B"),#REF!,0))</f>
        <v>#REF!</v>
      </c>
      <c r="CP288" s="7" t="e">
        <f>IF(#REF!="","",IF(AND($CE288&gt;0,#REF!="semillon B"),#REF!,0))</f>
        <v>#REF!</v>
      </c>
      <c r="CQ288" s="7" t="e">
        <f>IF(#REF!="","",IF(CE288=0,CC288,0))</f>
        <v>#REF!</v>
      </c>
      <c r="CR288" s="17"/>
      <c r="DE288"/>
    </row>
    <row r="289" spans="81:109" x14ac:dyDescent="0.25">
      <c r="CC289" s="7" t="e">
        <f>IF(#REF!="","",IF(#REF!="PF",#REF!,0))</f>
        <v>#REF!</v>
      </c>
      <c r="CD289" s="7" t="e">
        <f>IF(#REF!="","",IF(#REF!="PF",IF((#REF!+4)&lt;YEAR(#REF!),0,#REF!),0))</f>
        <v>#REF!</v>
      </c>
      <c r="CE289" s="7" t="e">
        <f>IF(#REF!="","",IF(AND(CD289&gt;0,#REF!&lt;&gt;""),CC289,0))</f>
        <v>#REF!</v>
      </c>
      <c r="CF289" s="7" t="e">
        <f>IF(#REF!="","",IF(AND($CE289&gt;0,#REF!= "GRENACHE N"),#REF!,0))</f>
        <v>#REF!</v>
      </c>
      <c r="CG289" s="7" t="e">
        <f>IF(#REF!="","",IF(AND($CE289&gt;0,#REF!="SYRAH N"),#REF!,0))</f>
        <v>#REF!</v>
      </c>
      <c r="CH289" s="7" t="e">
        <f>IF(#REF!="","",IF(AND($CE289&gt;0,#REF!="CINSAUT N"),#REF!,0))</f>
        <v>#REF!</v>
      </c>
      <c r="CI289" s="7" t="e">
        <f>IF(#REF!="","",IF(AND($CE289&gt;0,#REF!="TIBOUREN N"),#REF!,0))</f>
        <v>#REF!</v>
      </c>
      <c r="CJ289" s="7" t="e">
        <f>IF(#REF!="","",IF(AND($CE289&gt;0,#REF!="MOURVEDRE N"),#REF!,0))</f>
        <v>#REF!</v>
      </c>
      <c r="CK289" s="7" t="e">
        <f>IF(#REF!="","",IF(AND($CE289&gt;0,#REF!="CARIGNAN N"),#REF!,0))</f>
        <v>#REF!</v>
      </c>
      <c r="CL289" s="7" t="e">
        <f>IF(#REF!="","",IF(AND($CE289&gt;0,#REF!="CABERNET SAUVIGNON N"),#REF!,0))</f>
        <v>#REF!</v>
      </c>
      <c r="CM289" s="7" t="e">
        <f>IF(#REF!="","",IF(AND($CE289&gt;0,#REF!="VERMENTINO B"),#REF!,0))</f>
        <v>#REF!</v>
      </c>
      <c r="CN289" s="7" t="e">
        <f>IF(#REF!="","",IF(AND($CE289&gt;0,#REF!="UGNI BLANC B"),#REF!,0))</f>
        <v>#REF!</v>
      </c>
      <c r="CO289" s="7" t="e">
        <f>IF(#REF!="","",IF(AND($CE289&gt;0,#REF!="CLAIRETTE B"),#REF!,0))</f>
        <v>#REF!</v>
      </c>
      <c r="CP289" s="7" t="e">
        <f>IF(#REF!="","",IF(AND($CE289&gt;0,#REF!="semillon B"),#REF!,0))</f>
        <v>#REF!</v>
      </c>
      <c r="CQ289" s="7" t="e">
        <f>IF(#REF!="","",IF(CE289=0,CC289,0))</f>
        <v>#REF!</v>
      </c>
      <c r="CR289" s="17"/>
      <c r="DE289"/>
    </row>
    <row r="290" spans="81:109" x14ac:dyDescent="0.25">
      <c r="CC290" s="7" t="e">
        <f>IF(#REF!="","",IF(#REF!="PF",#REF!,0))</f>
        <v>#REF!</v>
      </c>
      <c r="CD290" s="7" t="e">
        <f>IF(#REF!="","",IF(#REF!="PF",IF((#REF!+4)&lt;YEAR(#REF!),0,#REF!),0))</f>
        <v>#REF!</v>
      </c>
      <c r="CE290" s="7" t="e">
        <f>IF(#REF!="","",IF(AND(CD290&gt;0,#REF!&lt;&gt;""),CC290,0))</f>
        <v>#REF!</v>
      </c>
      <c r="CF290" s="7" t="e">
        <f>IF(#REF!="","",IF(AND($CE290&gt;0,#REF!= "GRENACHE N"),#REF!,0))</f>
        <v>#REF!</v>
      </c>
      <c r="CG290" s="7" t="e">
        <f>IF(#REF!="","",IF(AND($CE290&gt;0,#REF!="SYRAH N"),#REF!,0))</f>
        <v>#REF!</v>
      </c>
      <c r="CH290" s="7" t="e">
        <f>IF(#REF!="","",IF(AND($CE290&gt;0,#REF!="CINSAUT N"),#REF!,0))</f>
        <v>#REF!</v>
      </c>
      <c r="CI290" s="7" t="e">
        <f>IF(#REF!="","",IF(AND($CE290&gt;0,#REF!="TIBOUREN N"),#REF!,0))</f>
        <v>#REF!</v>
      </c>
      <c r="CJ290" s="7" t="e">
        <f>IF(#REF!="","",IF(AND($CE290&gt;0,#REF!="MOURVEDRE N"),#REF!,0))</f>
        <v>#REF!</v>
      </c>
      <c r="CK290" s="7" t="e">
        <f>IF(#REF!="","",IF(AND($CE290&gt;0,#REF!="CARIGNAN N"),#REF!,0))</f>
        <v>#REF!</v>
      </c>
      <c r="CL290" s="7" t="e">
        <f>IF(#REF!="","",IF(AND($CE290&gt;0,#REF!="CABERNET SAUVIGNON N"),#REF!,0))</f>
        <v>#REF!</v>
      </c>
      <c r="CM290" s="7" t="e">
        <f>IF(#REF!="","",IF(AND($CE290&gt;0,#REF!="VERMENTINO B"),#REF!,0))</f>
        <v>#REF!</v>
      </c>
      <c r="CN290" s="7" t="e">
        <f>IF(#REF!="","",IF(AND($CE290&gt;0,#REF!="UGNI BLANC B"),#REF!,0))</f>
        <v>#REF!</v>
      </c>
      <c r="CO290" s="7" t="e">
        <f>IF(#REF!="","",IF(AND($CE290&gt;0,#REF!="CLAIRETTE B"),#REF!,0))</f>
        <v>#REF!</v>
      </c>
      <c r="CP290" s="7" t="e">
        <f>IF(#REF!="","",IF(AND($CE290&gt;0,#REF!="semillon B"),#REF!,0))</f>
        <v>#REF!</v>
      </c>
      <c r="CQ290" s="7" t="e">
        <f>IF(#REF!="","",IF(CE290=0,CC290,0))</f>
        <v>#REF!</v>
      </c>
      <c r="CR290" s="17"/>
      <c r="DE290"/>
    </row>
    <row r="291" spans="81:109" x14ac:dyDescent="0.25">
      <c r="CC291" s="7" t="e">
        <f>IF(#REF!="","",IF(#REF!="PF",#REF!,0))</f>
        <v>#REF!</v>
      </c>
      <c r="CD291" s="7" t="e">
        <f>IF(#REF!="","",IF(#REF!="PF",IF((#REF!+4)&lt;YEAR(#REF!),0,#REF!),0))</f>
        <v>#REF!</v>
      </c>
      <c r="CE291" s="7" t="e">
        <f>IF(#REF!="","",IF(AND(CD291&gt;0,#REF!&lt;&gt;""),CC291,0))</f>
        <v>#REF!</v>
      </c>
      <c r="CF291" s="7" t="e">
        <f>IF(#REF!="","",IF(AND($CE291&gt;0,#REF!= "GRENACHE N"),#REF!,0))</f>
        <v>#REF!</v>
      </c>
      <c r="CG291" s="7" t="e">
        <f>IF(#REF!="","",IF(AND($CE291&gt;0,#REF!="SYRAH N"),#REF!,0))</f>
        <v>#REF!</v>
      </c>
      <c r="CH291" s="7" t="e">
        <f>IF(#REF!="","",IF(AND($CE291&gt;0,#REF!="CINSAUT N"),#REF!,0))</f>
        <v>#REF!</v>
      </c>
      <c r="CI291" s="7" t="e">
        <f>IF(#REF!="","",IF(AND($CE291&gt;0,#REF!="TIBOUREN N"),#REF!,0))</f>
        <v>#REF!</v>
      </c>
      <c r="CJ291" s="7" t="e">
        <f>IF(#REF!="","",IF(AND($CE291&gt;0,#REF!="MOURVEDRE N"),#REF!,0))</f>
        <v>#REF!</v>
      </c>
      <c r="CK291" s="7" t="e">
        <f>IF(#REF!="","",IF(AND($CE291&gt;0,#REF!="CARIGNAN N"),#REF!,0))</f>
        <v>#REF!</v>
      </c>
      <c r="CL291" s="7" t="e">
        <f>IF(#REF!="","",IF(AND($CE291&gt;0,#REF!="CABERNET SAUVIGNON N"),#REF!,0))</f>
        <v>#REF!</v>
      </c>
      <c r="CM291" s="7" t="e">
        <f>IF(#REF!="","",IF(AND($CE291&gt;0,#REF!="VERMENTINO B"),#REF!,0))</f>
        <v>#REF!</v>
      </c>
      <c r="CN291" s="7" t="e">
        <f>IF(#REF!="","",IF(AND($CE291&gt;0,#REF!="UGNI BLANC B"),#REF!,0))</f>
        <v>#REF!</v>
      </c>
      <c r="CO291" s="7" t="e">
        <f>IF(#REF!="","",IF(AND($CE291&gt;0,#REF!="CLAIRETTE B"),#REF!,0))</f>
        <v>#REF!</v>
      </c>
      <c r="CP291" s="7" t="e">
        <f>IF(#REF!="","",IF(AND($CE291&gt;0,#REF!="semillon B"),#REF!,0))</f>
        <v>#REF!</v>
      </c>
      <c r="CQ291" s="7" t="e">
        <f>IF(#REF!="","",IF(CE291=0,CC291,0))</f>
        <v>#REF!</v>
      </c>
      <c r="CR291" s="17"/>
      <c r="DE291"/>
    </row>
    <row r="292" spans="81:109" x14ac:dyDescent="0.25">
      <c r="CC292" s="7" t="e">
        <f>IF(#REF!="","",IF(#REF!="PF",#REF!,0))</f>
        <v>#REF!</v>
      </c>
      <c r="CD292" s="7" t="e">
        <f>IF(#REF!="","",IF(#REF!="PF",IF((#REF!+4)&lt;YEAR(#REF!),0,#REF!),0))</f>
        <v>#REF!</v>
      </c>
      <c r="CE292" s="7" t="e">
        <f>IF(#REF!="","",IF(AND(CD292&gt;0,#REF!&lt;&gt;""),CC292,0))</f>
        <v>#REF!</v>
      </c>
      <c r="CF292" s="7" t="e">
        <f>IF(#REF!="","",IF(AND($CE292&gt;0,#REF!= "GRENACHE N"),#REF!,0))</f>
        <v>#REF!</v>
      </c>
      <c r="CG292" s="7" t="e">
        <f>IF(#REF!="","",IF(AND($CE292&gt;0,#REF!="SYRAH N"),#REF!,0))</f>
        <v>#REF!</v>
      </c>
      <c r="CH292" s="7" t="e">
        <f>IF(#REF!="","",IF(AND($CE292&gt;0,#REF!="CINSAUT N"),#REF!,0))</f>
        <v>#REF!</v>
      </c>
      <c r="CI292" s="7" t="e">
        <f>IF(#REF!="","",IF(AND($CE292&gt;0,#REF!="TIBOUREN N"),#REF!,0))</f>
        <v>#REF!</v>
      </c>
      <c r="CJ292" s="7" t="e">
        <f>IF(#REF!="","",IF(AND($CE292&gt;0,#REF!="MOURVEDRE N"),#REF!,0))</f>
        <v>#REF!</v>
      </c>
      <c r="CK292" s="7" t="e">
        <f>IF(#REF!="","",IF(AND($CE292&gt;0,#REF!="CARIGNAN N"),#REF!,0))</f>
        <v>#REF!</v>
      </c>
      <c r="CL292" s="7" t="e">
        <f>IF(#REF!="","",IF(AND($CE292&gt;0,#REF!="CABERNET SAUVIGNON N"),#REF!,0))</f>
        <v>#REF!</v>
      </c>
      <c r="CM292" s="7" t="e">
        <f>IF(#REF!="","",IF(AND($CE292&gt;0,#REF!="VERMENTINO B"),#REF!,0))</f>
        <v>#REF!</v>
      </c>
      <c r="CN292" s="7" t="e">
        <f>IF(#REF!="","",IF(AND($CE292&gt;0,#REF!="UGNI BLANC B"),#REF!,0))</f>
        <v>#REF!</v>
      </c>
      <c r="CO292" s="7" t="e">
        <f>IF(#REF!="","",IF(AND($CE292&gt;0,#REF!="CLAIRETTE B"),#REF!,0))</f>
        <v>#REF!</v>
      </c>
      <c r="CP292" s="7" t="e">
        <f>IF(#REF!="","",IF(AND($CE292&gt;0,#REF!="semillon B"),#REF!,0))</f>
        <v>#REF!</v>
      </c>
      <c r="CQ292" s="7" t="e">
        <f>IF(#REF!="","",IF(CE292=0,CC292,0))</f>
        <v>#REF!</v>
      </c>
      <c r="CR292" s="17"/>
      <c r="DE292"/>
    </row>
    <row r="293" spans="81:109" x14ac:dyDescent="0.25">
      <c r="CC293" s="7" t="e">
        <f>IF(#REF!="","",IF(#REF!="PF",#REF!,0))</f>
        <v>#REF!</v>
      </c>
      <c r="CD293" s="7" t="e">
        <f>IF(#REF!="","",IF(#REF!="PF",IF((#REF!+4)&lt;YEAR(#REF!),0,#REF!),0))</f>
        <v>#REF!</v>
      </c>
      <c r="CE293" s="7" t="e">
        <f>IF(#REF!="","",IF(AND(CD293&gt;0,#REF!&lt;&gt;""),CC293,0))</f>
        <v>#REF!</v>
      </c>
      <c r="CF293" s="7" t="e">
        <f>IF(#REF!="","",IF(AND($CE293&gt;0,#REF!= "GRENACHE N"),#REF!,0))</f>
        <v>#REF!</v>
      </c>
      <c r="CG293" s="7" t="e">
        <f>IF(#REF!="","",IF(AND($CE293&gt;0,#REF!="SYRAH N"),#REF!,0))</f>
        <v>#REF!</v>
      </c>
      <c r="CH293" s="7" t="e">
        <f>IF(#REF!="","",IF(AND($CE293&gt;0,#REF!="CINSAUT N"),#REF!,0))</f>
        <v>#REF!</v>
      </c>
      <c r="CI293" s="7" t="e">
        <f>IF(#REF!="","",IF(AND($CE293&gt;0,#REF!="TIBOUREN N"),#REF!,0))</f>
        <v>#REF!</v>
      </c>
      <c r="CJ293" s="7" t="e">
        <f>IF(#REF!="","",IF(AND($CE293&gt;0,#REF!="MOURVEDRE N"),#REF!,0))</f>
        <v>#REF!</v>
      </c>
      <c r="CK293" s="7" t="e">
        <f>IF(#REF!="","",IF(AND($CE293&gt;0,#REF!="CARIGNAN N"),#REF!,0))</f>
        <v>#REF!</v>
      </c>
      <c r="CL293" s="7" t="e">
        <f>IF(#REF!="","",IF(AND($CE293&gt;0,#REF!="CABERNET SAUVIGNON N"),#REF!,0))</f>
        <v>#REF!</v>
      </c>
      <c r="CM293" s="7" t="e">
        <f>IF(#REF!="","",IF(AND($CE293&gt;0,#REF!="VERMENTINO B"),#REF!,0))</f>
        <v>#REF!</v>
      </c>
      <c r="CN293" s="7" t="e">
        <f>IF(#REF!="","",IF(AND($CE293&gt;0,#REF!="UGNI BLANC B"),#REF!,0))</f>
        <v>#REF!</v>
      </c>
      <c r="CO293" s="7" t="e">
        <f>IF(#REF!="","",IF(AND($CE293&gt;0,#REF!="CLAIRETTE B"),#REF!,0))</f>
        <v>#REF!</v>
      </c>
      <c r="CP293" s="7" t="e">
        <f>IF(#REF!="","",IF(AND($CE293&gt;0,#REF!="semillon B"),#REF!,0))</f>
        <v>#REF!</v>
      </c>
      <c r="CQ293" s="7" t="e">
        <f>IF(#REF!="","",IF(CE293=0,CC293,0))</f>
        <v>#REF!</v>
      </c>
      <c r="CR293" s="17"/>
      <c r="DE293"/>
    </row>
    <row r="294" spans="81:109" x14ac:dyDescent="0.25">
      <c r="CC294" s="7" t="e">
        <f>IF(#REF!="","",IF(#REF!="PF",#REF!,0))</f>
        <v>#REF!</v>
      </c>
      <c r="CD294" s="7" t="e">
        <f>IF(#REF!="","",IF(#REF!="PF",IF((#REF!+4)&lt;YEAR(#REF!),0,#REF!),0))</f>
        <v>#REF!</v>
      </c>
      <c r="CE294" s="7" t="e">
        <f>IF(#REF!="","",IF(AND(CD294&gt;0,#REF!&lt;&gt;""),CC294,0))</f>
        <v>#REF!</v>
      </c>
      <c r="CF294" s="7" t="e">
        <f>IF(#REF!="","",IF(AND($CE294&gt;0,#REF!= "GRENACHE N"),#REF!,0))</f>
        <v>#REF!</v>
      </c>
      <c r="CG294" s="7" t="e">
        <f>IF(#REF!="","",IF(AND($CE294&gt;0,#REF!="SYRAH N"),#REF!,0))</f>
        <v>#REF!</v>
      </c>
      <c r="CH294" s="7" t="e">
        <f>IF(#REF!="","",IF(AND($CE294&gt;0,#REF!="CINSAUT N"),#REF!,0))</f>
        <v>#REF!</v>
      </c>
      <c r="CI294" s="7" t="e">
        <f>IF(#REF!="","",IF(AND($CE294&gt;0,#REF!="TIBOUREN N"),#REF!,0))</f>
        <v>#REF!</v>
      </c>
      <c r="CJ294" s="7" t="e">
        <f>IF(#REF!="","",IF(AND($CE294&gt;0,#REF!="MOURVEDRE N"),#REF!,0))</f>
        <v>#REF!</v>
      </c>
      <c r="CK294" s="7" t="e">
        <f>IF(#REF!="","",IF(AND($CE294&gt;0,#REF!="CARIGNAN N"),#REF!,0))</f>
        <v>#REF!</v>
      </c>
      <c r="CL294" s="7" t="e">
        <f>IF(#REF!="","",IF(AND($CE294&gt;0,#REF!="CABERNET SAUVIGNON N"),#REF!,0))</f>
        <v>#REF!</v>
      </c>
      <c r="CM294" s="7" t="e">
        <f>IF(#REF!="","",IF(AND($CE294&gt;0,#REF!="VERMENTINO B"),#REF!,0))</f>
        <v>#REF!</v>
      </c>
      <c r="CN294" s="7" t="e">
        <f>IF(#REF!="","",IF(AND($CE294&gt;0,#REF!="UGNI BLANC B"),#REF!,0))</f>
        <v>#REF!</v>
      </c>
      <c r="CO294" s="7" t="e">
        <f>IF(#REF!="","",IF(AND($CE294&gt;0,#REF!="CLAIRETTE B"),#REF!,0))</f>
        <v>#REF!</v>
      </c>
      <c r="CP294" s="7" t="e">
        <f>IF(#REF!="","",IF(AND($CE294&gt;0,#REF!="semillon B"),#REF!,0))</f>
        <v>#REF!</v>
      </c>
      <c r="CQ294" s="7" t="e">
        <f>IF(#REF!="","",IF(CE294=0,CC294,0))</f>
        <v>#REF!</v>
      </c>
      <c r="CR294" s="17"/>
      <c r="DE294"/>
    </row>
    <row r="295" spans="81:109" x14ac:dyDescent="0.25">
      <c r="CC295" s="7" t="e">
        <f>IF(#REF!="","",IF(#REF!="PF",#REF!,0))</f>
        <v>#REF!</v>
      </c>
      <c r="CD295" s="7" t="e">
        <f>IF(#REF!="","",IF(#REF!="PF",IF((#REF!+4)&lt;YEAR(#REF!),0,#REF!),0))</f>
        <v>#REF!</v>
      </c>
      <c r="CE295" s="7" t="e">
        <f>IF(#REF!="","",IF(AND(CD295&gt;0,#REF!&lt;&gt;""),CC295,0))</f>
        <v>#REF!</v>
      </c>
      <c r="CF295" s="7" t="e">
        <f>IF(#REF!="","",IF(AND($CE295&gt;0,#REF!= "GRENACHE N"),#REF!,0))</f>
        <v>#REF!</v>
      </c>
      <c r="CG295" s="7" t="e">
        <f>IF(#REF!="","",IF(AND($CE295&gt;0,#REF!="SYRAH N"),#REF!,0))</f>
        <v>#REF!</v>
      </c>
      <c r="CH295" s="7" t="e">
        <f>IF(#REF!="","",IF(AND($CE295&gt;0,#REF!="CINSAUT N"),#REF!,0))</f>
        <v>#REF!</v>
      </c>
      <c r="CI295" s="7" t="e">
        <f>IF(#REF!="","",IF(AND($CE295&gt;0,#REF!="TIBOUREN N"),#REF!,0))</f>
        <v>#REF!</v>
      </c>
      <c r="CJ295" s="7" t="e">
        <f>IF(#REF!="","",IF(AND($CE295&gt;0,#REF!="MOURVEDRE N"),#REF!,0))</f>
        <v>#REF!</v>
      </c>
      <c r="CK295" s="7" t="e">
        <f>IF(#REF!="","",IF(AND($CE295&gt;0,#REF!="CARIGNAN N"),#REF!,0))</f>
        <v>#REF!</v>
      </c>
      <c r="CL295" s="7" t="e">
        <f>IF(#REF!="","",IF(AND($CE295&gt;0,#REF!="CABERNET SAUVIGNON N"),#REF!,0))</f>
        <v>#REF!</v>
      </c>
      <c r="CM295" s="7" t="e">
        <f>IF(#REF!="","",IF(AND($CE295&gt;0,#REF!="VERMENTINO B"),#REF!,0))</f>
        <v>#REF!</v>
      </c>
      <c r="CN295" s="7" t="e">
        <f>IF(#REF!="","",IF(AND($CE295&gt;0,#REF!="UGNI BLANC B"),#REF!,0))</f>
        <v>#REF!</v>
      </c>
      <c r="CO295" s="7" t="e">
        <f>IF(#REF!="","",IF(AND($CE295&gt;0,#REF!="CLAIRETTE B"),#REF!,0))</f>
        <v>#REF!</v>
      </c>
      <c r="CP295" s="7" t="e">
        <f>IF(#REF!="","",IF(AND($CE295&gt;0,#REF!="semillon B"),#REF!,0))</f>
        <v>#REF!</v>
      </c>
      <c r="CQ295" s="7" t="e">
        <f>IF(#REF!="","",IF(CE295=0,CC295,0))</f>
        <v>#REF!</v>
      </c>
      <c r="CR295" s="17"/>
      <c r="DE295"/>
    </row>
    <row r="296" spans="81:109" x14ac:dyDescent="0.25">
      <c r="CC296" s="7" t="e">
        <f>IF(#REF!="","",IF(#REF!="PF",#REF!,0))</f>
        <v>#REF!</v>
      </c>
      <c r="CD296" s="7" t="e">
        <f>IF(#REF!="","",IF(#REF!="PF",IF((#REF!+4)&lt;YEAR(#REF!),0,#REF!),0))</f>
        <v>#REF!</v>
      </c>
      <c r="CE296" s="7" t="e">
        <f>IF(#REF!="","",IF(AND(CD296&gt;0,#REF!&lt;&gt;""),CC296,0))</f>
        <v>#REF!</v>
      </c>
      <c r="CF296" s="7" t="e">
        <f>IF(#REF!="","",IF(AND($CE296&gt;0,#REF!= "GRENACHE N"),#REF!,0))</f>
        <v>#REF!</v>
      </c>
      <c r="CG296" s="7" t="e">
        <f>IF(#REF!="","",IF(AND($CE296&gt;0,#REF!="SYRAH N"),#REF!,0))</f>
        <v>#REF!</v>
      </c>
      <c r="CH296" s="7" t="e">
        <f>IF(#REF!="","",IF(AND($CE296&gt;0,#REF!="CINSAUT N"),#REF!,0))</f>
        <v>#REF!</v>
      </c>
      <c r="CI296" s="7" t="e">
        <f>IF(#REF!="","",IF(AND($CE296&gt;0,#REF!="TIBOUREN N"),#REF!,0))</f>
        <v>#REF!</v>
      </c>
      <c r="CJ296" s="7" t="e">
        <f>IF(#REF!="","",IF(AND($CE296&gt;0,#REF!="MOURVEDRE N"),#REF!,0))</f>
        <v>#REF!</v>
      </c>
      <c r="CK296" s="7" t="e">
        <f>IF(#REF!="","",IF(AND($CE296&gt;0,#REF!="CARIGNAN N"),#REF!,0))</f>
        <v>#REF!</v>
      </c>
      <c r="CL296" s="7" t="e">
        <f>IF(#REF!="","",IF(AND($CE296&gt;0,#REF!="CABERNET SAUVIGNON N"),#REF!,0))</f>
        <v>#REF!</v>
      </c>
      <c r="CM296" s="7" t="e">
        <f>IF(#REF!="","",IF(AND($CE296&gt;0,#REF!="VERMENTINO B"),#REF!,0))</f>
        <v>#REF!</v>
      </c>
      <c r="CN296" s="7" t="e">
        <f>IF(#REF!="","",IF(AND($CE296&gt;0,#REF!="UGNI BLANC B"),#REF!,0))</f>
        <v>#REF!</v>
      </c>
      <c r="CO296" s="7" t="e">
        <f>IF(#REF!="","",IF(AND($CE296&gt;0,#REF!="CLAIRETTE B"),#REF!,0))</f>
        <v>#REF!</v>
      </c>
      <c r="CP296" s="7" t="e">
        <f>IF(#REF!="","",IF(AND($CE296&gt;0,#REF!="semillon B"),#REF!,0))</f>
        <v>#REF!</v>
      </c>
      <c r="CQ296" s="7" t="e">
        <f>IF(#REF!="","",IF(CE296=0,CC296,0))</f>
        <v>#REF!</v>
      </c>
      <c r="CR296" s="17"/>
      <c r="DE296"/>
    </row>
    <row r="297" spans="81:109" x14ac:dyDescent="0.25">
      <c r="CC297" s="7" t="e">
        <f>IF(#REF!="","",IF(#REF!="PF",#REF!,0))</f>
        <v>#REF!</v>
      </c>
      <c r="CD297" s="7" t="e">
        <f>IF(#REF!="","",IF(#REF!="PF",IF((#REF!+4)&lt;YEAR(#REF!),0,#REF!),0))</f>
        <v>#REF!</v>
      </c>
      <c r="CE297" s="7" t="e">
        <f>IF(#REF!="","",IF(AND(CD297&gt;0,#REF!&lt;&gt;""),CC297,0))</f>
        <v>#REF!</v>
      </c>
      <c r="CF297" s="7" t="e">
        <f>IF(#REF!="","",IF(AND($CE297&gt;0,#REF!= "GRENACHE N"),#REF!,0))</f>
        <v>#REF!</v>
      </c>
      <c r="CG297" s="7" t="e">
        <f>IF(#REF!="","",IF(AND($CE297&gt;0,#REF!="SYRAH N"),#REF!,0))</f>
        <v>#REF!</v>
      </c>
      <c r="CH297" s="7" t="e">
        <f>IF(#REF!="","",IF(AND($CE297&gt;0,#REF!="CINSAUT N"),#REF!,0))</f>
        <v>#REF!</v>
      </c>
      <c r="CI297" s="7" t="e">
        <f>IF(#REF!="","",IF(AND($CE297&gt;0,#REF!="TIBOUREN N"),#REF!,0))</f>
        <v>#REF!</v>
      </c>
      <c r="CJ297" s="7" t="e">
        <f>IF(#REF!="","",IF(AND($CE297&gt;0,#REF!="MOURVEDRE N"),#REF!,0))</f>
        <v>#REF!</v>
      </c>
      <c r="CK297" s="7" t="e">
        <f>IF(#REF!="","",IF(AND($CE297&gt;0,#REF!="CARIGNAN N"),#REF!,0))</f>
        <v>#REF!</v>
      </c>
      <c r="CL297" s="7" t="e">
        <f>IF(#REF!="","",IF(AND($CE297&gt;0,#REF!="CABERNET SAUVIGNON N"),#REF!,0))</f>
        <v>#REF!</v>
      </c>
      <c r="CM297" s="7" t="e">
        <f>IF(#REF!="","",IF(AND($CE297&gt;0,#REF!="VERMENTINO B"),#REF!,0))</f>
        <v>#REF!</v>
      </c>
      <c r="CN297" s="7" t="e">
        <f>IF(#REF!="","",IF(AND($CE297&gt;0,#REF!="UGNI BLANC B"),#REF!,0))</f>
        <v>#REF!</v>
      </c>
      <c r="CO297" s="7" t="e">
        <f>IF(#REF!="","",IF(AND($CE297&gt;0,#REF!="CLAIRETTE B"),#REF!,0))</f>
        <v>#REF!</v>
      </c>
      <c r="CP297" s="7" t="e">
        <f>IF(#REF!="","",IF(AND($CE297&gt;0,#REF!="semillon B"),#REF!,0))</f>
        <v>#REF!</v>
      </c>
      <c r="CQ297" s="7" t="e">
        <f>IF(#REF!="","",IF(CE297=0,CC297,0))</f>
        <v>#REF!</v>
      </c>
      <c r="CR297" s="17"/>
      <c r="DE297"/>
    </row>
    <row r="298" spans="81:109" x14ac:dyDescent="0.25">
      <c r="CC298" s="7" t="e">
        <f>IF(#REF!="","",IF(#REF!="PF",#REF!,0))</f>
        <v>#REF!</v>
      </c>
      <c r="CD298" s="7" t="e">
        <f>IF(#REF!="","",IF(#REF!="PF",IF((#REF!+4)&lt;YEAR(#REF!),0,#REF!),0))</f>
        <v>#REF!</v>
      </c>
      <c r="CE298" s="7" t="e">
        <f>IF(#REF!="","",IF(AND(CD298&gt;0,#REF!&lt;&gt;""),CC298,0))</f>
        <v>#REF!</v>
      </c>
      <c r="CF298" s="7" t="e">
        <f>IF(#REF!="","",IF(AND($CE298&gt;0,#REF!= "GRENACHE N"),#REF!,0))</f>
        <v>#REF!</v>
      </c>
      <c r="CG298" s="7" t="e">
        <f>IF(#REF!="","",IF(AND($CE298&gt;0,#REF!="SYRAH N"),#REF!,0))</f>
        <v>#REF!</v>
      </c>
      <c r="CH298" s="7" t="e">
        <f>IF(#REF!="","",IF(AND($CE298&gt;0,#REF!="CINSAUT N"),#REF!,0))</f>
        <v>#REF!</v>
      </c>
      <c r="CI298" s="7" t="e">
        <f>IF(#REF!="","",IF(AND($CE298&gt;0,#REF!="TIBOUREN N"),#REF!,0))</f>
        <v>#REF!</v>
      </c>
      <c r="CJ298" s="7" t="e">
        <f>IF(#REF!="","",IF(AND($CE298&gt;0,#REF!="MOURVEDRE N"),#REF!,0))</f>
        <v>#REF!</v>
      </c>
      <c r="CK298" s="7" t="e">
        <f>IF(#REF!="","",IF(AND($CE298&gt;0,#REF!="CARIGNAN N"),#REF!,0))</f>
        <v>#REF!</v>
      </c>
      <c r="CL298" s="7" t="e">
        <f>IF(#REF!="","",IF(AND($CE298&gt;0,#REF!="CABERNET SAUVIGNON N"),#REF!,0))</f>
        <v>#REF!</v>
      </c>
      <c r="CM298" s="7" t="e">
        <f>IF(#REF!="","",IF(AND($CE298&gt;0,#REF!="VERMENTINO B"),#REF!,0))</f>
        <v>#REF!</v>
      </c>
      <c r="CN298" s="7" t="e">
        <f>IF(#REF!="","",IF(AND($CE298&gt;0,#REF!="UGNI BLANC B"),#REF!,0))</f>
        <v>#REF!</v>
      </c>
      <c r="CO298" s="7" t="e">
        <f>IF(#REF!="","",IF(AND($CE298&gt;0,#REF!="CLAIRETTE B"),#REF!,0))</f>
        <v>#REF!</v>
      </c>
      <c r="CP298" s="7" t="e">
        <f>IF(#REF!="","",IF(AND($CE298&gt;0,#REF!="semillon B"),#REF!,0))</f>
        <v>#REF!</v>
      </c>
      <c r="CQ298" s="7" t="e">
        <f>IF(#REF!="","",IF(CE298=0,CC298,0))</f>
        <v>#REF!</v>
      </c>
      <c r="CR298" s="17"/>
      <c r="DE298"/>
    </row>
    <row r="299" spans="81:109" x14ac:dyDescent="0.25">
      <c r="CC299" s="7" t="e">
        <f>IF(#REF!="","",IF(#REF!="PF",#REF!,0))</f>
        <v>#REF!</v>
      </c>
      <c r="CD299" s="7" t="e">
        <f>IF(#REF!="","",IF(#REF!="PF",IF((#REF!+4)&lt;YEAR(#REF!),0,#REF!),0))</f>
        <v>#REF!</v>
      </c>
      <c r="CE299" s="7" t="e">
        <f>IF(#REF!="","",IF(AND(CD299&gt;0,#REF!&lt;&gt;""),CC299,0))</f>
        <v>#REF!</v>
      </c>
      <c r="CF299" s="7" t="e">
        <f>IF(#REF!="","",IF(AND($CE299&gt;0,#REF!= "GRENACHE N"),#REF!,0))</f>
        <v>#REF!</v>
      </c>
      <c r="CG299" s="7" t="e">
        <f>IF(#REF!="","",IF(AND($CE299&gt;0,#REF!="SYRAH N"),#REF!,0))</f>
        <v>#REF!</v>
      </c>
      <c r="CH299" s="7" t="e">
        <f>IF(#REF!="","",IF(AND($CE299&gt;0,#REF!="CINSAUT N"),#REF!,0))</f>
        <v>#REF!</v>
      </c>
      <c r="CI299" s="7" t="e">
        <f>IF(#REF!="","",IF(AND($CE299&gt;0,#REF!="TIBOUREN N"),#REF!,0))</f>
        <v>#REF!</v>
      </c>
      <c r="CJ299" s="7" t="e">
        <f>IF(#REF!="","",IF(AND($CE299&gt;0,#REF!="MOURVEDRE N"),#REF!,0))</f>
        <v>#REF!</v>
      </c>
      <c r="CK299" s="7" t="e">
        <f>IF(#REF!="","",IF(AND($CE299&gt;0,#REF!="CARIGNAN N"),#REF!,0))</f>
        <v>#REF!</v>
      </c>
      <c r="CL299" s="7" t="e">
        <f>IF(#REF!="","",IF(AND($CE299&gt;0,#REF!="CABERNET SAUVIGNON N"),#REF!,0))</f>
        <v>#REF!</v>
      </c>
      <c r="CM299" s="7" t="e">
        <f>IF(#REF!="","",IF(AND($CE299&gt;0,#REF!="VERMENTINO B"),#REF!,0))</f>
        <v>#REF!</v>
      </c>
      <c r="CN299" s="7" t="e">
        <f>IF(#REF!="","",IF(AND($CE299&gt;0,#REF!="UGNI BLANC B"),#REF!,0))</f>
        <v>#REF!</v>
      </c>
      <c r="CO299" s="7" t="e">
        <f>IF(#REF!="","",IF(AND($CE299&gt;0,#REF!="CLAIRETTE B"),#REF!,0))</f>
        <v>#REF!</v>
      </c>
      <c r="CP299" s="7" t="e">
        <f>IF(#REF!="","",IF(AND($CE299&gt;0,#REF!="semillon B"),#REF!,0))</f>
        <v>#REF!</v>
      </c>
      <c r="CQ299" s="7" t="e">
        <f>IF(#REF!="","",IF(CE299=0,CC299,0))</f>
        <v>#REF!</v>
      </c>
      <c r="CR299" s="17"/>
      <c r="DE299"/>
    </row>
    <row r="300" spans="81:109" x14ac:dyDescent="0.25">
      <c r="CC300" s="7" t="e">
        <f>IF(#REF!="","",IF(#REF!="PF",#REF!,0))</f>
        <v>#REF!</v>
      </c>
      <c r="CD300" s="7" t="e">
        <f>IF(#REF!="","",IF(#REF!="PF",IF((#REF!+4)&lt;YEAR(#REF!),0,#REF!),0))</f>
        <v>#REF!</v>
      </c>
      <c r="CE300" s="7" t="e">
        <f>IF(#REF!="","",IF(AND(CD300&gt;0,#REF!&lt;&gt;""),CC300,0))</f>
        <v>#REF!</v>
      </c>
      <c r="CF300" s="7" t="e">
        <f>IF(#REF!="","",IF(AND($CE300&gt;0,#REF!= "GRENACHE N"),#REF!,0))</f>
        <v>#REF!</v>
      </c>
      <c r="CG300" s="7" t="e">
        <f>IF(#REF!="","",IF(AND($CE300&gt;0,#REF!="SYRAH N"),#REF!,0))</f>
        <v>#REF!</v>
      </c>
      <c r="CH300" s="7" t="e">
        <f>IF(#REF!="","",IF(AND($CE300&gt;0,#REF!="CINSAUT N"),#REF!,0))</f>
        <v>#REF!</v>
      </c>
      <c r="CI300" s="7" t="e">
        <f>IF(#REF!="","",IF(AND($CE300&gt;0,#REF!="TIBOUREN N"),#REF!,0))</f>
        <v>#REF!</v>
      </c>
      <c r="CJ300" s="7" t="e">
        <f>IF(#REF!="","",IF(AND($CE300&gt;0,#REF!="MOURVEDRE N"),#REF!,0))</f>
        <v>#REF!</v>
      </c>
      <c r="CK300" s="7" t="e">
        <f>IF(#REF!="","",IF(AND($CE300&gt;0,#REF!="CARIGNAN N"),#REF!,0))</f>
        <v>#REF!</v>
      </c>
      <c r="CL300" s="7" t="e">
        <f>IF(#REF!="","",IF(AND($CE300&gt;0,#REF!="CABERNET SAUVIGNON N"),#REF!,0))</f>
        <v>#REF!</v>
      </c>
      <c r="CM300" s="7" t="e">
        <f>IF(#REF!="","",IF(AND($CE300&gt;0,#REF!="VERMENTINO B"),#REF!,0))</f>
        <v>#REF!</v>
      </c>
      <c r="CN300" s="7" t="e">
        <f>IF(#REF!="","",IF(AND($CE300&gt;0,#REF!="UGNI BLANC B"),#REF!,0))</f>
        <v>#REF!</v>
      </c>
      <c r="CO300" s="7" t="e">
        <f>IF(#REF!="","",IF(AND($CE300&gt;0,#REF!="CLAIRETTE B"),#REF!,0))</f>
        <v>#REF!</v>
      </c>
      <c r="CP300" s="7" t="e">
        <f>IF(#REF!="","",IF(AND($CE300&gt;0,#REF!="semillon B"),#REF!,0))</f>
        <v>#REF!</v>
      </c>
      <c r="CQ300" s="7" t="e">
        <f>IF(#REF!="","",IF(CE300=0,CC300,0))</f>
        <v>#REF!</v>
      </c>
      <c r="CR300" s="17"/>
      <c r="DE300"/>
    </row>
    <row r="301" spans="81:109" x14ac:dyDescent="0.25">
      <c r="CC301" s="7" t="e">
        <f>IF(#REF!="","",IF(#REF!="PF",#REF!,0))</f>
        <v>#REF!</v>
      </c>
      <c r="CD301" s="7" t="e">
        <f>IF(#REF!="","",IF(#REF!="PF",IF((#REF!+4)&lt;YEAR(#REF!),0,#REF!),0))</f>
        <v>#REF!</v>
      </c>
      <c r="CE301" s="7" t="e">
        <f>IF(#REF!="","",IF(AND(CD301&gt;0,#REF!&lt;&gt;""),CC301,0))</f>
        <v>#REF!</v>
      </c>
      <c r="CF301" s="7" t="e">
        <f>IF(#REF!="","",IF(AND($CE301&gt;0,#REF!= "GRENACHE N"),#REF!,0))</f>
        <v>#REF!</v>
      </c>
      <c r="CG301" s="7" t="e">
        <f>IF(#REF!="","",IF(AND($CE301&gt;0,#REF!="SYRAH N"),#REF!,0))</f>
        <v>#REF!</v>
      </c>
      <c r="CH301" s="7" t="e">
        <f>IF(#REF!="","",IF(AND($CE301&gt;0,#REF!="CINSAUT N"),#REF!,0))</f>
        <v>#REF!</v>
      </c>
      <c r="CI301" s="7" t="e">
        <f>IF(#REF!="","",IF(AND($CE301&gt;0,#REF!="TIBOUREN N"),#REF!,0))</f>
        <v>#REF!</v>
      </c>
      <c r="CJ301" s="7" t="e">
        <f>IF(#REF!="","",IF(AND($CE301&gt;0,#REF!="MOURVEDRE N"),#REF!,0))</f>
        <v>#REF!</v>
      </c>
      <c r="CK301" s="7" t="e">
        <f>IF(#REF!="","",IF(AND($CE301&gt;0,#REF!="CARIGNAN N"),#REF!,0))</f>
        <v>#REF!</v>
      </c>
      <c r="CL301" s="7" t="e">
        <f>IF(#REF!="","",IF(AND($CE301&gt;0,#REF!="CABERNET SAUVIGNON N"),#REF!,0))</f>
        <v>#REF!</v>
      </c>
      <c r="CM301" s="7" t="e">
        <f>IF(#REF!="","",IF(AND($CE301&gt;0,#REF!="VERMENTINO B"),#REF!,0))</f>
        <v>#REF!</v>
      </c>
      <c r="CN301" s="7" t="e">
        <f>IF(#REF!="","",IF(AND($CE301&gt;0,#REF!="UGNI BLANC B"),#REF!,0))</f>
        <v>#REF!</v>
      </c>
      <c r="CO301" s="7" t="e">
        <f>IF(#REF!="","",IF(AND($CE301&gt;0,#REF!="CLAIRETTE B"),#REF!,0))</f>
        <v>#REF!</v>
      </c>
      <c r="CP301" s="7" t="e">
        <f>IF(#REF!="","",IF(AND($CE301&gt;0,#REF!="semillon B"),#REF!,0))</f>
        <v>#REF!</v>
      </c>
      <c r="CQ301" s="7" t="e">
        <f>IF(#REF!="","",IF(CE301=0,CC301,0))</f>
        <v>#REF!</v>
      </c>
      <c r="CR301" s="17"/>
      <c r="DE301"/>
    </row>
    <row r="302" spans="81:109" x14ac:dyDescent="0.25">
      <c r="CC302" s="7" t="e">
        <f>IF(#REF!="","",IF(#REF!="PF",#REF!,0))</f>
        <v>#REF!</v>
      </c>
      <c r="CD302" s="7" t="e">
        <f>IF(#REF!="","",IF(#REF!="PF",IF((#REF!+4)&lt;YEAR(#REF!),0,#REF!),0))</f>
        <v>#REF!</v>
      </c>
      <c r="CE302" s="7" t="e">
        <f>IF(#REF!="","",IF(AND(CD302&gt;0,#REF!&lt;&gt;""),CC302,0))</f>
        <v>#REF!</v>
      </c>
      <c r="CF302" s="7" t="e">
        <f>IF(#REF!="","",IF(AND($CE302&gt;0,#REF!= "GRENACHE N"),#REF!,0))</f>
        <v>#REF!</v>
      </c>
      <c r="CG302" s="7" t="e">
        <f>IF(#REF!="","",IF(AND($CE302&gt;0,#REF!="SYRAH N"),#REF!,0))</f>
        <v>#REF!</v>
      </c>
      <c r="CH302" s="7" t="e">
        <f>IF(#REF!="","",IF(AND($CE302&gt;0,#REF!="CINSAUT N"),#REF!,0))</f>
        <v>#REF!</v>
      </c>
      <c r="CI302" s="7" t="e">
        <f>IF(#REF!="","",IF(AND($CE302&gt;0,#REF!="TIBOUREN N"),#REF!,0))</f>
        <v>#REF!</v>
      </c>
      <c r="CJ302" s="7" t="e">
        <f>IF(#REF!="","",IF(AND($CE302&gt;0,#REF!="MOURVEDRE N"),#REF!,0))</f>
        <v>#REF!</v>
      </c>
      <c r="CK302" s="7" t="e">
        <f>IF(#REF!="","",IF(AND($CE302&gt;0,#REF!="CARIGNAN N"),#REF!,0))</f>
        <v>#REF!</v>
      </c>
      <c r="CL302" s="7" t="e">
        <f>IF(#REF!="","",IF(AND($CE302&gt;0,#REF!="CABERNET SAUVIGNON N"),#REF!,0))</f>
        <v>#REF!</v>
      </c>
      <c r="CM302" s="7" t="e">
        <f>IF(#REF!="","",IF(AND($CE302&gt;0,#REF!="VERMENTINO B"),#REF!,0))</f>
        <v>#REF!</v>
      </c>
      <c r="CN302" s="7" t="e">
        <f>IF(#REF!="","",IF(AND($CE302&gt;0,#REF!="UGNI BLANC B"),#REF!,0))</f>
        <v>#REF!</v>
      </c>
      <c r="CO302" s="7" t="e">
        <f>IF(#REF!="","",IF(AND($CE302&gt;0,#REF!="CLAIRETTE B"),#REF!,0))</f>
        <v>#REF!</v>
      </c>
      <c r="CP302" s="7" t="e">
        <f>IF(#REF!="","",IF(AND($CE302&gt;0,#REF!="semillon B"),#REF!,0))</f>
        <v>#REF!</v>
      </c>
      <c r="CQ302" s="7" t="e">
        <f>IF(#REF!="","",IF(CE302=0,CC302,0))</f>
        <v>#REF!</v>
      </c>
      <c r="CR302" s="17"/>
      <c r="DE302"/>
    </row>
    <row r="303" spans="81:109" x14ac:dyDescent="0.25">
      <c r="CC303" s="7" t="e">
        <f>IF(#REF!="","",IF(#REF!="PF",#REF!,0))</f>
        <v>#REF!</v>
      </c>
      <c r="CD303" s="7" t="e">
        <f>IF(#REF!="","",IF(#REF!="PF",IF((#REF!+4)&lt;YEAR(#REF!),0,#REF!),0))</f>
        <v>#REF!</v>
      </c>
      <c r="CE303" s="7" t="e">
        <f>IF(#REF!="","",IF(AND(CD303&gt;0,#REF!&lt;&gt;""),CC303,0))</f>
        <v>#REF!</v>
      </c>
      <c r="CF303" s="7" t="e">
        <f>IF(#REF!="","",IF(AND($CE303&gt;0,#REF!= "GRENACHE N"),#REF!,0))</f>
        <v>#REF!</v>
      </c>
      <c r="CG303" s="7" t="e">
        <f>IF(#REF!="","",IF(AND($CE303&gt;0,#REF!="SYRAH N"),#REF!,0))</f>
        <v>#REF!</v>
      </c>
      <c r="CH303" s="7" t="e">
        <f>IF(#REF!="","",IF(AND($CE303&gt;0,#REF!="CINSAUT N"),#REF!,0))</f>
        <v>#REF!</v>
      </c>
      <c r="CI303" s="7" t="e">
        <f>IF(#REF!="","",IF(AND($CE303&gt;0,#REF!="TIBOUREN N"),#REF!,0))</f>
        <v>#REF!</v>
      </c>
      <c r="CJ303" s="7" t="e">
        <f>IF(#REF!="","",IF(AND($CE303&gt;0,#REF!="MOURVEDRE N"),#REF!,0))</f>
        <v>#REF!</v>
      </c>
      <c r="CK303" s="7" t="e">
        <f>IF(#REF!="","",IF(AND($CE303&gt;0,#REF!="CARIGNAN N"),#REF!,0))</f>
        <v>#REF!</v>
      </c>
      <c r="CL303" s="7" t="e">
        <f>IF(#REF!="","",IF(AND($CE303&gt;0,#REF!="CABERNET SAUVIGNON N"),#REF!,0))</f>
        <v>#REF!</v>
      </c>
      <c r="CM303" s="7" t="e">
        <f>IF(#REF!="","",IF(AND($CE303&gt;0,#REF!="VERMENTINO B"),#REF!,0))</f>
        <v>#REF!</v>
      </c>
      <c r="CN303" s="7" t="e">
        <f>IF(#REF!="","",IF(AND($CE303&gt;0,#REF!="UGNI BLANC B"),#REF!,0))</f>
        <v>#REF!</v>
      </c>
      <c r="CO303" s="7" t="e">
        <f>IF(#REF!="","",IF(AND($CE303&gt;0,#REF!="CLAIRETTE B"),#REF!,0))</f>
        <v>#REF!</v>
      </c>
      <c r="CP303" s="7" t="e">
        <f>IF(#REF!="","",IF(AND($CE303&gt;0,#REF!="semillon B"),#REF!,0))</f>
        <v>#REF!</v>
      </c>
      <c r="CQ303" s="7" t="e">
        <f>IF(#REF!="","",IF(CE303=0,CC303,0))</f>
        <v>#REF!</v>
      </c>
      <c r="CR303" s="17"/>
      <c r="DE303"/>
    </row>
    <row r="304" spans="81:109" x14ac:dyDescent="0.25">
      <c r="CC304" s="7" t="e">
        <f>IF(#REF!="","",IF(#REF!="PF",#REF!,0))</f>
        <v>#REF!</v>
      </c>
      <c r="CD304" s="7" t="e">
        <f>IF(#REF!="","",IF(#REF!="PF",IF((#REF!+4)&lt;YEAR(#REF!),0,#REF!),0))</f>
        <v>#REF!</v>
      </c>
      <c r="CE304" s="7" t="e">
        <f>IF(#REF!="","",IF(AND(CD304&gt;0,#REF!&lt;&gt;""),CC304,0))</f>
        <v>#REF!</v>
      </c>
      <c r="CF304" s="7" t="e">
        <f>IF(#REF!="","",IF(AND($CE304&gt;0,#REF!= "GRENACHE N"),#REF!,0))</f>
        <v>#REF!</v>
      </c>
      <c r="CG304" s="7" t="e">
        <f>IF(#REF!="","",IF(AND($CE304&gt;0,#REF!="SYRAH N"),#REF!,0))</f>
        <v>#REF!</v>
      </c>
      <c r="CH304" s="7" t="e">
        <f>IF(#REF!="","",IF(AND($CE304&gt;0,#REF!="CINSAUT N"),#REF!,0))</f>
        <v>#REF!</v>
      </c>
      <c r="CI304" s="7" t="e">
        <f>IF(#REF!="","",IF(AND($CE304&gt;0,#REF!="TIBOUREN N"),#REF!,0))</f>
        <v>#REF!</v>
      </c>
      <c r="CJ304" s="7" t="e">
        <f>IF(#REF!="","",IF(AND($CE304&gt;0,#REF!="MOURVEDRE N"),#REF!,0))</f>
        <v>#REF!</v>
      </c>
      <c r="CK304" s="7" t="e">
        <f>IF(#REF!="","",IF(AND($CE304&gt;0,#REF!="CARIGNAN N"),#REF!,0))</f>
        <v>#REF!</v>
      </c>
      <c r="CL304" s="7" t="e">
        <f>IF(#REF!="","",IF(AND($CE304&gt;0,#REF!="CABERNET SAUVIGNON N"),#REF!,0))</f>
        <v>#REF!</v>
      </c>
      <c r="CM304" s="7" t="e">
        <f>IF(#REF!="","",IF(AND($CE304&gt;0,#REF!="VERMENTINO B"),#REF!,0))</f>
        <v>#REF!</v>
      </c>
      <c r="CN304" s="7" t="e">
        <f>IF(#REF!="","",IF(AND($CE304&gt;0,#REF!="UGNI BLANC B"),#REF!,0))</f>
        <v>#REF!</v>
      </c>
      <c r="CO304" s="7" t="e">
        <f>IF(#REF!="","",IF(AND($CE304&gt;0,#REF!="CLAIRETTE B"),#REF!,0))</f>
        <v>#REF!</v>
      </c>
      <c r="CP304" s="7" t="e">
        <f>IF(#REF!="","",IF(AND($CE304&gt;0,#REF!="semillon B"),#REF!,0))</f>
        <v>#REF!</v>
      </c>
      <c r="CQ304" s="7" t="e">
        <f>IF(#REF!="","",IF(CE304=0,CC304,0))</f>
        <v>#REF!</v>
      </c>
      <c r="CR304" s="17"/>
      <c r="DE304"/>
    </row>
    <row r="305" spans="81:109" x14ac:dyDescent="0.25">
      <c r="CC305" s="7" t="e">
        <f>IF(#REF!="","",IF(#REF!="PF",#REF!,0))</f>
        <v>#REF!</v>
      </c>
      <c r="CD305" s="7" t="e">
        <f>IF(#REF!="","",IF(#REF!="PF",IF((#REF!+4)&lt;YEAR(#REF!),0,#REF!),0))</f>
        <v>#REF!</v>
      </c>
      <c r="CE305" s="7" t="e">
        <f>IF(#REF!="","",IF(AND(CD305&gt;0,#REF!&lt;&gt;""),CC305,0))</f>
        <v>#REF!</v>
      </c>
      <c r="CF305" s="7" t="e">
        <f>IF(#REF!="","",IF(AND($CE305&gt;0,#REF!= "GRENACHE N"),#REF!,0))</f>
        <v>#REF!</v>
      </c>
      <c r="CG305" s="7" t="e">
        <f>IF(#REF!="","",IF(AND($CE305&gt;0,#REF!="SYRAH N"),#REF!,0))</f>
        <v>#REF!</v>
      </c>
      <c r="CH305" s="7" t="e">
        <f>IF(#REF!="","",IF(AND($CE305&gt;0,#REF!="CINSAUT N"),#REF!,0))</f>
        <v>#REF!</v>
      </c>
      <c r="CI305" s="7" t="e">
        <f>IF(#REF!="","",IF(AND($CE305&gt;0,#REF!="TIBOUREN N"),#REF!,0))</f>
        <v>#REF!</v>
      </c>
      <c r="CJ305" s="7" t="e">
        <f>IF(#REF!="","",IF(AND($CE305&gt;0,#REF!="MOURVEDRE N"),#REF!,0))</f>
        <v>#REF!</v>
      </c>
      <c r="CK305" s="7" t="e">
        <f>IF(#REF!="","",IF(AND($CE305&gt;0,#REF!="CARIGNAN N"),#REF!,0))</f>
        <v>#REF!</v>
      </c>
      <c r="CL305" s="7" t="e">
        <f>IF(#REF!="","",IF(AND($CE305&gt;0,#REF!="CABERNET SAUVIGNON N"),#REF!,0))</f>
        <v>#REF!</v>
      </c>
      <c r="CM305" s="7" t="e">
        <f>IF(#REF!="","",IF(AND($CE305&gt;0,#REF!="VERMENTINO B"),#REF!,0))</f>
        <v>#REF!</v>
      </c>
      <c r="CN305" s="7" t="e">
        <f>IF(#REF!="","",IF(AND($CE305&gt;0,#REF!="UGNI BLANC B"),#REF!,0))</f>
        <v>#REF!</v>
      </c>
      <c r="CO305" s="7" t="e">
        <f>IF(#REF!="","",IF(AND($CE305&gt;0,#REF!="CLAIRETTE B"),#REF!,0))</f>
        <v>#REF!</v>
      </c>
      <c r="CP305" s="7" t="e">
        <f>IF(#REF!="","",IF(AND($CE305&gt;0,#REF!="semillon B"),#REF!,0))</f>
        <v>#REF!</v>
      </c>
      <c r="CQ305" s="7" t="e">
        <f>IF(#REF!="","",IF(CE305=0,CC305,0))</f>
        <v>#REF!</v>
      </c>
      <c r="CR305" s="17"/>
      <c r="DE305"/>
    </row>
    <row r="306" spans="81:109" x14ac:dyDescent="0.25">
      <c r="CC306" s="7" t="e">
        <f>IF(#REF!="","",IF(#REF!="PF",#REF!,0))</f>
        <v>#REF!</v>
      </c>
      <c r="CD306" s="7" t="e">
        <f>IF(#REF!="","",IF(#REF!="PF",IF((#REF!+4)&lt;YEAR(#REF!),0,#REF!),0))</f>
        <v>#REF!</v>
      </c>
      <c r="CE306" s="7" t="e">
        <f>IF(#REF!="","",IF(AND(CD306&gt;0,#REF!&lt;&gt;""),CC306,0))</f>
        <v>#REF!</v>
      </c>
      <c r="CF306" s="7" t="e">
        <f>IF(#REF!="","",IF(AND($CE306&gt;0,#REF!= "GRENACHE N"),#REF!,0))</f>
        <v>#REF!</v>
      </c>
      <c r="CG306" s="7" t="e">
        <f>IF(#REF!="","",IF(AND($CE306&gt;0,#REF!="SYRAH N"),#REF!,0))</f>
        <v>#REF!</v>
      </c>
      <c r="CH306" s="7" t="e">
        <f>IF(#REF!="","",IF(AND($CE306&gt;0,#REF!="CINSAUT N"),#REF!,0))</f>
        <v>#REF!</v>
      </c>
      <c r="CI306" s="7" t="e">
        <f>IF(#REF!="","",IF(AND($CE306&gt;0,#REF!="TIBOUREN N"),#REF!,0))</f>
        <v>#REF!</v>
      </c>
      <c r="CJ306" s="7" t="e">
        <f>IF(#REF!="","",IF(AND($CE306&gt;0,#REF!="MOURVEDRE N"),#REF!,0))</f>
        <v>#REF!</v>
      </c>
      <c r="CK306" s="7" t="e">
        <f>IF(#REF!="","",IF(AND($CE306&gt;0,#REF!="CARIGNAN N"),#REF!,0))</f>
        <v>#REF!</v>
      </c>
      <c r="CL306" s="7" t="e">
        <f>IF(#REF!="","",IF(AND($CE306&gt;0,#REF!="CABERNET SAUVIGNON N"),#REF!,0))</f>
        <v>#REF!</v>
      </c>
      <c r="CM306" s="7" t="e">
        <f>IF(#REF!="","",IF(AND($CE306&gt;0,#REF!="VERMENTINO B"),#REF!,0))</f>
        <v>#REF!</v>
      </c>
      <c r="CN306" s="7" t="e">
        <f>IF(#REF!="","",IF(AND($CE306&gt;0,#REF!="UGNI BLANC B"),#REF!,0))</f>
        <v>#REF!</v>
      </c>
      <c r="CO306" s="7" t="e">
        <f>IF(#REF!="","",IF(AND($CE306&gt;0,#REF!="CLAIRETTE B"),#REF!,0))</f>
        <v>#REF!</v>
      </c>
      <c r="CP306" s="7" t="e">
        <f>IF(#REF!="","",IF(AND($CE306&gt;0,#REF!="semillon B"),#REF!,0))</f>
        <v>#REF!</v>
      </c>
      <c r="CQ306" s="7" t="e">
        <f>IF(#REF!="","",IF(CE306=0,CC306,0))</f>
        <v>#REF!</v>
      </c>
      <c r="CR306" s="17"/>
      <c r="DE306"/>
    </row>
    <row r="307" spans="81:109" x14ac:dyDescent="0.25">
      <c r="CC307" s="7" t="e">
        <f>IF(#REF!="","",IF(#REF!="PF",#REF!,0))</f>
        <v>#REF!</v>
      </c>
      <c r="CD307" s="7" t="e">
        <f>IF(#REF!="","",IF(#REF!="PF",IF((#REF!+4)&lt;YEAR(#REF!),0,#REF!),0))</f>
        <v>#REF!</v>
      </c>
      <c r="CE307" s="7" t="e">
        <f>IF(#REF!="","",IF(AND(CD307&gt;0,#REF!&lt;&gt;""),CC307,0))</f>
        <v>#REF!</v>
      </c>
      <c r="CF307" s="7" t="e">
        <f>IF(#REF!="","",IF(AND($CE307&gt;0,#REF!= "GRENACHE N"),#REF!,0))</f>
        <v>#REF!</v>
      </c>
      <c r="CG307" s="7" t="e">
        <f>IF(#REF!="","",IF(AND($CE307&gt;0,#REF!="SYRAH N"),#REF!,0))</f>
        <v>#REF!</v>
      </c>
      <c r="CH307" s="7" t="e">
        <f>IF(#REF!="","",IF(AND($CE307&gt;0,#REF!="CINSAUT N"),#REF!,0))</f>
        <v>#REF!</v>
      </c>
      <c r="CI307" s="7" t="e">
        <f>IF(#REF!="","",IF(AND($CE307&gt;0,#REF!="TIBOUREN N"),#REF!,0))</f>
        <v>#REF!</v>
      </c>
      <c r="CJ307" s="7" t="e">
        <f>IF(#REF!="","",IF(AND($CE307&gt;0,#REF!="MOURVEDRE N"),#REF!,0))</f>
        <v>#REF!</v>
      </c>
      <c r="CK307" s="7" t="e">
        <f>IF(#REF!="","",IF(AND($CE307&gt;0,#REF!="CARIGNAN N"),#REF!,0))</f>
        <v>#REF!</v>
      </c>
      <c r="CL307" s="7" t="e">
        <f>IF(#REF!="","",IF(AND($CE307&gt;0,#REF!="CABERNET SAUVIGNON N"),#REF!,0))</f>
        <v>#REF!</v>
      </c>
      <c r="CM307" s="7" t="e">
        <f>IF(#REF!="","",IF(AND($CE307&gt;0,#REF!="VERMENTINO B"),#REF!,0))</f>
        <v>#REF!</v>
      </c>
      <c r="CN307" s="7" t="e">
        <f>IF(#REF!="","",IF(AND($CE307&gt;0,#REF!="UGNI BLANC B"),#REF!,0))</f>
        <v>#REF!</v>
      </c>
      <c r="CO307" s="7" t="e">
        <f>IF(#REF!="","",IF(AND($CE307&gt;0,#REF!="CLAIRETTE B"),#REF!,0))</f>
        <v>#REF!</v>
      </c>
      <c r="CP307" s="7" t="e">
        <f>IF(#REF!="","",IF(AND($CE307&gt;0,#REF!="semillon B"),#REF!,0))</f>
        <v>#REF!</v>
      </c>
      <c r="CQ307" s="7" t="e">
        <f>IF(#REF!="","",IF(CE307=0,CC307,0))</f>
        <v>#REF!</v>
      </c>
      <c r="CR307" s="17"/>
      <c r="DE307"/>
    </row>
    <row r="308" spans="81:109" x14ac:dyDescent="0.25">
      <c r="CC308" s="7" t="e">
        <f>IF(#REF!="","",IF(#REF!="PF",#REF!,0))</f>
        <v>#REF!</v>
      </c>
      <c r="CD308" s="7" t="e">
        <f>IF(#REF!="","",IF(#REF!="PF",IF((#REF!+4)&lt;YEAR(#REF!),0,#REF!),0))</f>
        <v>#REF!</v>
      </c>
      <c r="CE308" s="7" t="e">
        <f>IF(#REF!="","",IF(AND(CD308&gt;0,#REF!&lt;&gt;""),CC308,0))</f>
        <v>#REF!</v>
      </c>
      <c r="CF308" s="7" t="e">
        <f>IF(#REF!="","",IF(AND($CE308&gt;0,#REF!= "GRENACHE N"),#REF!,0))</f>
        <v>#REF!</v>
      </c>
      <c r="CG308" s="7" t="e">
        <f>IF(#REF!="","",IF(AND($CE308&gt;0,#REF!="SYRAH N"),#REF!,0))</f>
        <v>#REF!</v>
      </c>
      <c r="CH308" s="7" t="e">
        <f>IF(#REF!="","",IF(AND($CE308&gt;0,#REF!="CINSAUT N"),#REF!,0))</f>
        <v>#REF!</v>
      </c>
      <c r="CI308" s="7" t="e">
        <f>IF(#REF!="","",IF(AND($CE308&gt;0,#REF!="TIBOUREN N"),#REF!,0))</f>
        <v>#REF!</v>
      </c>
      <c r="CJ308" s="7" t="e">
        <f>IF(#REF!="","",IF(AND($CE308&gt;0,#REF!="MOURVEDRE N"),#REF!,0))</f>
        <v>#REF!</v>
      </c>
      <c r="CK308" s="7" t="e">
        <f>IF(#REF!="","",IF(AND($CE308&gt;0,#REF!="CARIGNAN N"),#REF!,0))</f>
        <v>#REF!</v>
      </c>
      <c r="CL308" s="7" t="e">
        <f>IF(#REF!="","",IF(AND($CE308&gt;0,#REF!="CABERNET SAUVIGNON N"),#REF!,0))</f>
        <v>#REF!</v>
      </c>
      <c r="CM308" s="7" t="e">
        <f>IF(#REF!="","",IF(AND($CE308&gt;0,#REF!="VERMENTINO B"),#REF!,0))</f>
        <v>#REF!</v>
      </c>
      <c r="CN308" s="7" t="e">
        <f>IF(#REF!="","",IF(AND($CE308&gt;0,#REF!="UGNI BLANC B"),#REF!,0))</f>
        <v>#REF!</v>
      </c>
      <c r="CO308" s="7" t="e">
        <f>IF(#REF!="","",IF(AND($CE308&gt;0,#REF!="CLAIRETTE B"),#REF!,0))</f>
        <v>#REF!</v>
      </c>
      <c r="CP308" s="7" t="e">
        <f>IF(#REF!="","",IF(AND($CE308&gt;0,#REF!="semillon B"),#REF!,0))</f>
        <v>#REF!</v>
      </c>
      <c r="CQ308" s="7" t="e">
        <f>IF(#REF!="","",IF(CE308=0,CC308,0))</f>
        <v>#REF!</v>
      </c>
      <c r="CR308" s="17"/>
      <c r="DE308"/>
    </row>
    <row r="309" spans="81:109" x14ac:dyDescent="0.25">
      <c r="CC309" s="7" t="e">
        <f>IF(#REF!="","",IF(#REF!="PF",#REF!,0))</f>
        <v>#REF!</v>
      </c>
      <c r="CD309" s="7" t="e">
        <f>IF(#REF!="","",IF(#REF!="PF",IF((#REF!+4)&lt;YEAR(#REF!),0,#REF!),0))</f>
        <v>#REF!</v>
      </c>
      <c r="CE309" s="7" t="e">
        <f>IF(#REF!="","",IF(AND(CD309&gt;0,#REF!&lt;&gt;""),CC309,0))</f>
        <v>#REF!</v>
      </c>
      <c r="CF309" s="7" t="e">
        <f>IF(#REF!="","",IF(AND($CE309&gt;0,#REF!= "GRENACHE N"),#REF!,0))</f>
        <v>#REF!</v>
      </c>
      <c r="CG309" s="7" t="e">
        <f>IF(#REF!="","",IF(AND($CE309&gt;0,#REF!="SYRAH N"),#REF!,0))</f>
        <v>#REF!</v>
      </c>
      <c r="CH309" s="7" t="e">
        <f>IF(#REF!="","",IF(AND($CE309&gt;0,#REF!="CINSAUT N"),#REF!,0))</f>
        <v>#REF!</v>
      </c>
      <c r="CI309" s="7" t="e">
        <f>IF(#REF!="","",IF(AND($CE309&gt;0,#REF!="TIBOUREN N"),#REF!,0))</f>
        <v>#REF!</v>
      </c>
      <c r="CJ309" s="7" t="e">
        <f>IF(#REF!="","",IF(AND($CE309&gt;0,#REF!="MOURVEDRE N"),#REF!,0))</f>
        <v>#REF!</v>
      </c>
      <c r="CK309" s="7" t="e">
        <f>IF(#REF!="","",IF(AND($CE309&gt;0,#REF!="CARIGNAN N"),#REF!,0))</f>
        <v>#REF!</v>
      </c>
      <c r="CL309" s="7" t="e">
        <f>IF(#REF!="","",IF(AND($CE309&gt;0,#REF!="CABERNET SAUVIGNON N"),#REF!,0))</f>
        <v>#REF!</v>
      </c>
      <c r="CM309" s="7" t="e">
        <f>IF(#REF!="","",IF(AND($CE309&gt;0,#REF!="VERMENTINO B"),#REF!,0))</f>
        <v>#REF!</v>
      </c>
      <c r="CN309" s="7" t="e">
        <f>IF(#REF!="","",IF(AND($CE309&gt;0,#REF!="UGNI BLANC B"),#REF!,0))</f>
        <v>#REF!</v>
      </c>
      <c r="CO309" s="7" t="e">
        <f>IF(#REF!="","",IF(AND($CE309&gt;0,#REF!="CLAIRETTE B"),#REF!,0))</f>
        <v>#REF!</v>
      </c>
      <c r="CP309" s="7" t="e">
        <f>IF(#REF!="","",IF(AND($CE309&gt;0,#REF!="semillon B"),#REF!,0))</f>
        <v>#REF!</v>
      </c>
      <c r="CQ309" s="7" t="e">
        <f>IF(#REF!="","",IF(CE309=0,CC309,0))</f>
        <v>#REF!</v>
      </c>
      <c r="CR309" s="17"/>
      <c r="DE309"/>
    </row>
    <row r="310" spans="81:109" x14ac:dyDescent="0.25">
      <c r="CC310" s="7" t="e">
        <f>IF(#REF!="","",IF(#REF!="PF",#REF!,0))</f>
        <v>#REF!</v>
      </c>
      <c r="CD310" s="7" t="e">
        <f>IF(#REF!="","",IF(#REF!="PF",IF((#REF!+4)&lt;YEAR(#REF!),0,#REF!),0))</f>
        <v>#REF!</v>
      </c>
      <c r="CE310" s="7" t="e">
        <f>IF(#REF!="","",IF(AND(CD310&gt;0,#REF!&lt;&gt;""),CC310,0))</f>
        <v>#REF!</v>
      </c>
      <c r="CF310" s="7" t="e">
        <f>IF(#REF!="","",IF(AND($CE310&gt;0,#REF!= "GRENACHE N"),#REF!,0))</f>
        <v>#REF!</v>
      </c>
      <c r="CG310" s="7" t="e">
        <f>IF(#REF!="","",IF(AND($CE310&gt;0,#REF!="SYRAH N"),#REF!,0))</f>
        <v>#REF!</v>
      </c>
      <c r="CH310" s="7" t="e">
        <f>IF(#REF!="","",IF(AND($CE310&gt;0,#REF!="CINSAUT N"),#REF!,0))</f>
        <v>#REF!</v>
      </c>
      <c r="CI310" s="7" t="e">
        <f>IF(#REF!="","",IF(AND($CE310&gt;0,#REF!="TIBOUREN N"),#REF!,0))</f>
        <v>#REF!</v>
      </c>
      <c r="CJ310" s="7" t="e">
        <f>IF(#REF!="","",IF(AND($CE310&gt;0,#REF!="MOURVEDRE N"),#REF!,0))</f>
        <v>#REF!</v>
      </c>
      <c r="CK310" s="7" t="e">
        <f>IF(#REF!="","",IF(AND($CE310&gt;0,#REF!="CARIGNAN N"),#REF!,0))</f>
        <v>#REF!</v>
      </c>
      <c r="CL310" s="7" t="e">
        <f>IF(#REF!="","",IF(AND($CE310&gt;0,#REF!="CABERNET SAUVIGNON N"),#REF!,0))</f>
        <v>#REF!</v>
      </c>
      <c r="CM310" s="7" t="e">
        <f>IF(#REF!="","",IF(AND($CE310&gt;0,#REF!="VERMENTINO B"),#REF!,0))</f>
        <v>#REF!</v>
      </c>
      <c r="CN310" s="7" t="e">
        <f>IF(#REF!="","",IF(AND($CE310&gt;0,#REF!="UGNI BLANC B"),#REF!,0))</f>
        <v>#REF!</v>
      </c>
      <c r="CO310" s="7" t="e">
        <f>IF(#REF!="","",IF(AND($CE310&gt;0,#REF!="CLAIRETTE B"),#REF!,0))</f>
        <v>#REF!</v>
      </c>
      <c r="CP310" s="7" t="e">
        <f>IF(#REF!="","",IF(AND($CE310&gt;0,#REF!="semillon B"),#REF!,0))</f>
        <v>#REF!</v>
      </c>
      <c r="CQ310" s="7" t="e">
        <f>IF(#REF!="","",IF(CE310=0,CC310,0))</f>
        <v>#REF!</v>
      </c>
      <c r="CR310" s="17"/>
      <c r="DE310"/>
    </row>
    <row r="311" spans="81:109" x14ac:dyDescent="0.25">
      <c r="CC311" s="7" t="e">
        <f>IF(#REF!="","",IF(#REF!="PF",#REF!,0))</f>
        <v>#REF!</v>
      </c>
      <c r="CD311" s="7" t="e">
        <f>IF(#REF!="","",IF(#REF!="PF",IF((#REF!+4)&lt;YEAR(#REF!),0,#REF!),0))</f>
        <v>#REF!</v>
      </c>
      <c r="CE311" s="7" t="e">
        <f>IF(#REF!="","",IF(AND(CD311&gt;0,#REF!&lt;&gt;""),CC311,0))</f>
        <v>#REF!</v>
      </c>
      <c r="CF311" s="7" t="e">
        <f>IF(#REF!="","",IF(AND($CE311&gt;0,#REF!= "GRENACHE N"),#REF!,0))</f>
        <v>#REF!</v>
      </c>
      <c r="CG311" s="7" t="e">
        <f>IF(#REF!="","",IF(AND($CE311&gt;0,#REF!="SYRAH N"),#REF!,0))</f>
        <v>#REF!</v>
      </c>
      <c r="CH311" s="7" t="e">
        <f>IF(#REF!="","",IF(AND($CE311&gt;0,#REF!="CINSAUT N"),#REF!,0))</f>
        <v>#REF!</v>
      </c>
      <c r="CI311" s="7" t="e">
        <f>IF(#REF!="","",IF(AND($CE311&gt;0,#REF!="TIBOUREN N"),#REF!,0))</f>
        <v>#REF!</v>
      </c>
      <c r="CJ311" s="7" t="e">
        <f>IF(#REF!="","",IF(AND($CE311&gt;0,#REF!="MOURVEDRE N"),#REF!,0))</f>
        <v>#REF!</v>
      </c>
      <c r="CK311" s="7" t="e">
        <f>IF(#REF!="","",IF(AND($CE311&gt;0,#REF!="CARIGNAN N"),#REF!,0))</f>
        <v>#REF!</v>
      </c>
      <c r="CL311" s="7" t="e">
        <f>IF(#REF!="","",IF(AND($CE311&gt;0,#REF!="CABERNET SAUVIGNON N"),#REF!,0))</f>
        <v>#REF!</v>
      </c>
      <c r="CM311" s="7" t="e">
        <f>IF(#REF!="","",IF(AND($CE311&gt;0,#REF!="VERMENTINO B"),#REF!,0))</f>
        <v>#REF!</v>
      </c>
      <c r="CN311" s="7" t="e">
        <f>IF(#REF!="","",IF(AND($CE311&gt;0,#REF!="UGNI BLANC B"),#REF!,0))</f>
        <v>#REF!</v>
      </c>
      <c r="CO311" s="7" t="e">
        <f>IF(#REF!="","",IF(AND($CE311&gt;0,#REF!="CLAIRETTE B"),#REF!,0))</f>
        <v>#REF!</v>
      </c>
      <c r="CP311" s="7" t="e">
        <f>IF(#REF!="","",IF(AND($CE311&gt;0,#REF!="semillon B"),#REF!,0))</f>
        <v>#REF!</v>
      </c>
      <c r="CQ311" s="7" t="e">
        <f>IF(#REF!="","",IF(CE311=0,CC311,0))</f>
        <v>#REF!</v>
      </c>
      <c r="CR311" s="17"/>
      <c r="DE311"/>
    </row>
    <row r="312" spans="81:109" x14ac:dyDescent="0.25">
      <c r="CC312" s="7" t="e">
        <f>IF(#REF!="","",IF(#REF!="PF",#REF!,0))</f>
        <v>#REF!</v>
      </c>
      <c r="CD312" s="7" t="e">
        <f>IF(#REF!="","",IF(#REF!="PF",IF((#REF!+4)&lt;YEAR(#REF!),0,#REF!),0))</f>
        <v>#REF!</v>
      </c>
      <c r="CE312" s="7" t="e">
        <f>IF(#REF!="","",IF(AND(CD312&gt;0,#REF!&lt;&gt;""),CC312,0))</f>
        <v>#REF!</v>
      </c>
      <c r="CF312" s="7" t="e">
        <f>IF(#REF!="","",IF(AND($CE312&gt;0,#REF!= "GRENACHE N"),#REF!,0))</f>
        <v>#REF!</v>
      </c>
      <c r="CG312" s="7" t="e">
        <f>IF(#REF!="","",IF(AND($CE312&gt;0,#REF!="SYRAH N"),#REF!,0))</f>
        <v>#REF!</v>
      </c>
      <c r="CH312" s="7" t="e">
        <f>IF(#REF!="","",IF(AND($CE312&gt;0,#REF!="CINSAUT N"),#REF!,0))</f>
        <v>#REF!</v>
      </c>
      <c r="CI312" s="7" t="e">
        <f>IF(#REF!="","",IF(AND($CE312&gt;0,#REF!="TIBOUREN N"),#REF!,0))</f>
        <v>#REF!</v>
      </c>
      <c r="CJ312" s="7" t="e">
        <f>IF(#REF!="","",IF(AND($CE312&gt;0,#REF!="MOURVEDRE N"),#REF!,0))</f>
        <v>#REF!</v>
      </c>
      <c r="CK312" s="7" t="e">
        <f>IF(#REF!="","",IF(AND($CE312&gt;0,#REF!="CARIGNAN N"),#REF!,0))</f>
        <v>#REF!</v>
      </c>
      <c r="CL312" s="7" t="e">
        <f>IF(#REF!="","",IF(AND($CE312&gt;0,#REF!="CABERNET SAUVIGNON N"),#REF!,0))</f>
        <v>#REF!</v>
      </c>
      <c r="CM312" s="7" t="e">
        <f>IF(#REF!="","",IF(AND($CE312&gt;0,#REF!="VERMENTINO B"),#REF!,0))</f>
        <v>#REF!</v>
      </c>
      <c r="CN312" s="7" t="e">
        <f>IF(#REF!="","",IF(AND($CE312&gt;0,#REF!="UGNI BLANC B"),#REF!,0))</f>
        <v>#REF!</v>
      </c>
      <c r="CO312" s="7" t="e">
        <f>IF(#REF!="","",IF(AND($CE312&gt;0,#REF!="CLAIRETTE B"),#REF!,0))</f>
        <v>#REF!</v>
      </c>
      <c r="CP312" s="7" t="e">
        <f>IF(#REF!="","",IF(AND($CE312&gt;0,#REF!="semillon B"),#REF!,0))</f>
        <v>#REF!</v>
      </c>
      <c r="CQ312" s="7" t="e">
        <f>IF(#REF!="","",IF(CE312=0,CC312,0))</f>
        <v>#REF!</v>
      </c>
      <c r="CR312" s="17"/>
      <c r="DE312"/>
    </row>
    <row r="313" spans="81:109" x14ac:dyDescent="0.25">
      <c r="CC313" s="7" t="e">
        <f>IF(#REF!="","",IF(#REF!="PF",#REF!,0))</f>
        <v>#REF!</v>
      </c>
      <c r="CD313" s="7" t="e">
        <f>IF(#REF!="","",IF(#REF!="PF",IF((#REF!+4)&lt;YEAR(#REF!),0,#REF!),0))</f>
        <v>#REF!</v>
      </c>
      <c r="CE313" s="7" t="e">
        <f>IF(#REF!="","",IF(AND(CD313&gt;0,#REF!&lt;&gt;""),CC313,0))</f>
        <v>#REF!</v>
      </c>
      <c r="CF313" s="7" t="e">
        <f>IF(#REF!="","",IF(AND($CE313&gt;0,#REF!= "GRENACHE N"),#REF!,0))</f>
        <v>#REF!</v>
      </c>
      <c r="CG313" s="7" t="e">
        <f>IF(#REF!="","",IF(AND($CE313&gt;0,#REF!="SYRAH N"),#REF!,0))</f>
        <v>#REF!</v>
      </c>
      <c r="CH313" s="7" t="e">
        <f>IF(#REF!="","",IF(AND($CE313&gt;0,#REF!="CINSAUT N"),#REF!,0))</f>
        <v>#REF!</v>
      </c>
      <c r="CI313" s="7" t="e">
        <f>IF(#REF!="","",IF(AND($CE313&gt;0,#REF!="TIBOUREN N"),#REF!,0))</f>
        <v>#REF!</v>
      </c>
      <c r="CJ313" s="7" t="e">
        <f>IF(#REF!="","",IF(AND($CE313&gt;0,#REF!="MOURVEDRE N"),#REF!,0))</f>
        <v>#REF!</v>
      </c>
      <c r="CK313" s="7" t="e">
        <f>IF(#REF!="","",IF(AND($CE313&gt;0,#REF!="CARIGNAN N"),#REF!,0))</f>
        <v>#REF!</v>
      </c>
      <c r="CL313" s="7" t="e">
        <f>IF(#REF!="","",IF(AND($CE313&gt;0,#REF!="CABERNET SAUVIGNON N"),#REF!,0))</f>
        <v>#REF!</v>
      </c>
      <c r="CM313" s="7" t="e">
        <f>IF(#REF!="","",IF(AND($CE313&gt;0,#REF!="VERMENTINO B"),#REF!,0))</f>
        <v>#REF!</v>
      </c>
      <c r="CN313" s="7" t="e">
        <f>IF(#REF!="","",IF(AND($CE313&gt;0,#REF!="UGNI BLANC B"),#REF!,0))</f>
        <v>#REF!</v>
      </c>
      <c r="CO313" s="7" t="e">
        <f>IF(#REF!="","",IF(AND($CE313&gt;0,#REF!="CLAIRETTE B"),#REF!,0))</f>
        <v>#REF!</v>
      </c>
      <c r="CP313" s="7" t="e">
        <f>IF(#REF!="","",IF(AND($CE313&gt;0,#REF!="semillon B"),#REF!,0))</f>
        <v>#REF!</v>
      </c>
      <c r="CQ313" s="7" t="e">
        <f>IF(#REF!="","",IF(CE313=0,CC313,0))</f>
        <v>#REF!</v>
      </c>
      <c r="CR313" s="17"/>
      <c r="DE313"/>
    </row>
    <row r="314" spans="81:109" x14ac:dyDescent="0.25">
      <c r="CC314" s="7" t="e">
        <f>IF(#REF!="","",IF(#REF!="PF",#REF!,0))</f>
        <v>#REF!</v>
      </c>
      <c r="CD314" s="7" t="e">
        <f>IF(#REF!="","",IF(#REF!="PF",IF((#REF!+4)&lt;YEAR(#REF!),0,#REF!),0))</f>
        <v>#REF!</v>
      </c>
      <c r="CE314" s="7" t="e">
        <f>IF(#REF!="","",IF(AND(CD314&gt;0,#REF!&lt;&gt;""),CC314,0))</f>
        <v>#REF!</v>
      </c>
      <c r="CF314" s="7" t="e">
        <f>IF(#REF!="","",IF(AND($CE314&gt;0,#REF!= "GRENACHE N"),#REF!,0))</f>
        <v>#REF!</v>
      </c>
      <c r="CG314" s="7" t="e">
        <f>IF(#REF!="","",IF(AND($CE314&gt;0,#REF!="SYRAH N"),#REF!,0))</f>
        <v>#REF!</v>
      </c>
      <c r="CH314" s="7" t="e">
        <f>IF(#REF!="","",IF(AND($CE314&gt;0,#REF!="CINSAUT N"),#REF!,0))</f>
        <v>#REF!</v>
      </c>
      <c r="CI314" s="7" t="e">
        <f>IF(#REF!="","",IF(AND($CE314&gt;0,#REF!="TIBOUREN N"),#REF!,0))</f>
        <v>#REF!</v>
      </c>
      <c r="CJ314" s="7" t="e">
        <f>IF(#REF!="","",IF(AND($CE314&gt;0,#REF!="MOURVEDRE N"),#REF!,0))</f>
        <v>#REF!</v>
      </c>
      <c r="CK314" s="7" t="e">
        <f>IF(#REF!="","",IF(AND($CE314&gt;0,#REF!="CARIGNAN N"),#REF!,0))</f>
        <v>#REF!</v>
      </c>
      <c r="CL314" s="7" t="e">
        <f>IF(#REF!="","",IF(AND($CE314&gt;0,#REF!="CABERNET SAUVIGNON N"),#REF!,0))</f>
        <v>#REF!</v>
      </c>
      <c r="CM314" s="7" t="e">
        <f>IF(#REF!="","",IF(AND($CE314&gt;0,#REF!="VERMENTINO B"),#REF!,0))</f>
        <v>#REF!</v>
      </c>
      <c r="CN314" s="7" t="e">
        <f>IF(#REF!="","",IF(AND($CE314&gt;0,#REF!="UGNI BLANC B"),#REF!,0))</f>
        <v>#REF!</v>
      </c>
      <c r="CO314" s="7" t="e">
        <f>IF(#REF!="","",IF(AND($CE314&gt;0,#REF!="CLAIRETTE B"),#REF!,0))</f>
        <v>#REF!</v>
      </c>
      <c r="CP314" s="7" t="e">
        <f>IF(#REF!="","",IF(AND($CE314&gt;0,#REF!="semillon B"),#REF!,0))</f>
        <v>#REF!</v>
      </c>
      <c r="CQ314" s="7" t="e">
        <f>IF(#REF!="","",IF(CE314=0,CC314,0))</f>
        <v>#REF!</v>
      </c>
      <c r="CR314" s="17"/>
      <c r="DE314"/>
    </row>
    <row r="315" spans="81:109" x14ac:dyDescent="0.25">
      <c r="CC315" s="7" t="e">
        <f>IF(#REF!="","",IF(#REF!="PF",#REF!,0))</f>
        <v>#REF!</v>
      </c>
      <c r="CD315" s="7" t="e">
        <f>IF(#REF!="","",IF(#REF!="PF",IF((#REF!+4)&lt;YEAR(#REF!),0,#REF!),0))</f>
        <v>#REF!</v>
      </c>
      <c r="CE315" s="7" t="e">
        <f>IF(#REF!="","",IF(AND(CD315&gt;0,#REF!&lt;&gt;""),CC315,0))</f>
        <v>#REF!</v>
      </c>
      <c r="CF315" s="7" t="e">
        <f>IF(#REF!="","",IF(AND($CE315&gt;0,#REF!= "GRENACHE N"),#REF!,0))</f>
        <v>#REF!</v>
      </c>
      <c r="CG315" s="7" t="e">
        <f>IF(#REF!="","",IF(AND($CE315&gt;0,#REF!="SYRAH N"),#REF!,0))</f>
        <v>#REF!</v>
      </c>
      <c r="CH315" s="7" t="e">
        <f>IF(#REF!="","",IF(AND($CE315&gt;0,#REF!="CINSAUT N"),#REF!,0))</f>
        <v>#REF!</v>
      </c>
      <c r="CI315" s="7" t="e">
        <f>IF(#REF!="","",IF(AND($CE315&gt;0,#REF!="TIBOUREN N"),#REF!,0))</f>
        <v>#REF!</v>
      </c>
      <c r="CJ315" s="7" t="e">
        <f>IF(#REF!="","",IF(AND($CE315&gt;0,#REF!="MOURVEDRE N"),#REF!,0))</f>
        <v>#REF!</v>
      </c>
      <c r="CK315" s="7" t="e">
        <f>IF(#REF!="","",IF(AND($CE315&gt;0,#REF!="CARIGNAN N"),#REF!,0))</f>
        <v>#REF!</v>
      </c>
      <c r="CL315" s="7" t="e">
        <f>IF(#REF!="","",IF(AND($CE315&gt;0,#REF!="CABERNET SAUVIGNON N"),#REF!,0))</f>
        <v>#REF!</v>
      </c>
      <c r="CM315" s="7" t="e">
        <f>IF(#REF!="","",IF(AND($CE315&gt;0,#REF!="VERMENTINO B"),#REF!,0))</f>
        <v>#REF!</v>
      </c>
      <c r="CN315" s="7" t="e">
        <f>IF(#REF!="","",IF(AND($CE315&gt;0,#REF!="UGNI BLANC B"),#REF!,0))</f>
        <v>#REF!</v>
      </c>
      <c r="CO315" s="7" t="e">
        <f>IF(#REF!="","",IF(AND($CE315&gt;0,#REF!="CLAIRETTE B"),#REF!,0))</f>
        <v>#REF!</v>
      </c>
      <c r="CP315" s="7" t="e">
        <f>IF(#REF!="","",IF(AND($CE315&gt;0,#REF!="semillon B"),#REF!,0))</f>
        <v>#REF!</v>
      </c>
      <c r="CQ315" s="7" t="e">
        <f>IF(#REF!="","",IF(CE315=0,CC315,0))</f>
        <v>#REF!</v>
      </c>
      <c r="CR315" s="17"/>
      <c r="DE315"/>
    </row>
    <row r="316" spans="81:109" x14ac:dyDescent="0.25">
      <c r="CC316" s="7" t="e">
        <f>IF(#REF!="","",IF(#REF!="PF",#REF!,0))</f>
        <v>#REF!</v>
      </c>
      <c r="CD316" s="7" t="e">
        <f>IF(#REF!="","",IF(#REF!="PF",IF((#REF!+4)&lt;YEAR(#REF!),0,#REF!),0))</f>
        <v>#REF!</v>
      </c>
      <c r="CE316" s="7" t="e">
        <f>IF(#REF!="","",IF(AND(CD316&gt;0,#REF!&lt;&gt;""),CC316,0))</f>
        <v>#REF!</v>
      </c>
      <c r="CF316" s="7" t="e">
        <f>IF(#REF!="","",IF(AND($CE316&gt;0,#REF!= "GRENACHE N"),#REF!,0))</f>
        <v>#REF!</v>
      </c>
      <c r="CG316" s="7" t="e">
        <f>IF(#REF!="","",IF(AND($CE316&gt;0,#REF!="SYRAH N"),#REF!,0))</f>
        <v>#REF!</v>
      </c>
      <c r="CH316" s="7" t="e">
        <f>IF(#REF!="","",IF(AND($CE316&gt;0,#REF!="CINSAUT N"),#REF!,0))</f>
        <v>#REF!</v>
      </c>
      <c r="CI316" s="7" t="e">
        <f>IF(#REF!="","",IF(AND($CE316&gt;0,#REF!="TIBOUREN N"),#REF!,0))</f>
        <v>#REF!</v>
      </c>
      <c r="CJ316" s="7" t="e">
        <f>IF(#REF!="","",IF(AND($CE316&gt;0,#REF!="MOURVEDRE N"),#REF!,0))</f>
        <v>#REF!</v>
      </c>
      <c r="CK316" s="7" t="e">
        <f>IF(#REF!="","",IF(AND($CE316&gt;0,#REF!="CARIGNAN N"),#REF!,0))</f>
        <v>#REF!</v>
      </c>
      <c r="CL316" s="7" t="e">
        <f>IF(#REF!="","",IF(AND($CE316&gt;0,#REF!="CABERNET SAUVIGNON N"),#REF!,0))</f>
        <v>#REF!</v>
      </c>
      <c r="CM316" s="7" t="e">
        <f>IF(#REF!="","",IF(AND($CE316&gt;0,#REF!="VERMENTINO B"),#REF!,0))</f>
        <v>#REF!</v>
      </c>
      <c r="CN316" s="7" t="e">
        <f>IF(#REF!="","",IF(AND($CE316&gt;0,#REF!="UGNI BLANC B"),#REF!,0))</f>
        <v>#REF!</v>
      </c>
      <c r="CO316" s="7" t="e">
        <f>IF(#REF!="","",IF(AND($CE316&gt;0,#REF!="CLAIRETTE B"),#REF!,0))</f>
        <v>#REF!</v>
      </c>
      <c r="CP316" s="7" t="e">
        <f>IF(#REF!="","",IF(AND($CE316&gt;0,#REF!="semillon B"),#REF!,0))</f>
        <v>#REF!</v>
      </c>
      <c r="CQ316" s="7" t="e">
        <f>IF(#REF!="","",IF(CE316=0,CC316,0))</f>
        <v>#REF!</v>
      </c>
      <c r="CR316" s="17"/>
      <c r="DE316"/>
    </row>
    <row r="317" spans="81:109" x14ac:dyDescent="0.25">
      <c r="CC317" s="7" t="e">
        <f>IF(#REF!="","",IF(#REF!="PF",#REF!,0))</f>
        <v>#REF!</v>
      </c>
      <c r="CD317" s="7" t="e">
        <f>IF(#REF!="","",IF(#REF!="PF",IF((#REF!+4)&lt;YEAR(#REF!),0,#REF!),0))</f>
        <v>#REF!</v>
      </c>
      <c r="CE317" s="7" t="e">
        <f>IF(#REF!="","",IF(AND(CD317&gt;0,#REF!&lt;&gt;""),CC317,0))</f>
        <v>#REF!</v>
      </c>
      <c r="CF317" s="7" t="e">
        <f>IF(#REF!="","",IF(AND($CE317&gt;0,#REF!= "GRENACHE N"),#REF!,0))</f>
        <v>#REF!</v>
      </c>
      <c r="CG317" s="7" t="e">
        <f>IF(#REF!="","",IF(AND($CE317&gt;0,#REF!="SYRAH N"),#REF!,0))</f>
        <v>#REF!</v>
      </c>
      <c r="CH317" s="7" t="e">
        <f>IF(#REF!="","",IF(AND($CE317&gt;0,#REF!="CINSAUT N"),#REF!,0))</f>
        <v>#REF!</v>
      </c>
      <c r="CI317" s="7" t="e">
        <f>IF(#REF!="","",IF(AND($CE317&gt;0,#REF!="TIBOUREN N"),#REF!,0))</f>
        <v>#REF!</v>
      </c>
      <c r="CJ317" s="7" t="e">
        <f>IF(#REF!="","",IF(AND($CE317&gt;0,#REF!="MOURVEDRE N"),#REF!,0))</f>
        <v>#REF!</v>
      </c>
      <c r="CK317" s="7" t="e">
        <f>IF(#REF!="","",IF(AND($CE317&gt;0,#REF!="CARIGNAN N"),#REF!,0))</f>
        <v>#REF!</v>
      </c>
      <c r="CL317" s="7" t="e">
        <f>IF(#REF!="","",IF(AND($CE317&gt;0,#REF!="CABERNET SAUVIGNON N"),#REF!,0))</f>
        <v>#REF!</v>
      </c>
      <c r="CM317" s="7" t="e">
        <f>IF(#REF!="","",IF(AND($CE317&gt;0,#REF!="VERMENTINO B"),#REF!,0))</f>
        <v>#REF!</v>
      </c>
      <c r="CN317" s="7" t="e">
        <f>IF(#REF!="","",IF(AND($CE317&gt;0,#REF!="UGNI BLANC B"),#REF!,0))</f>
        <v>#REF!</v>
      </c>
      <c r="CO317" s="7" t="e">
        <f>IF(#REF!="","",IF(AND($CE317&gt;0,#REF!="CLAIRETTE B"),#REF!,0))</f>
        <v>#REF!</v>
      </c>
      <c r="CP317" s="7" t="e">
        <f>IF(#REF!="","",IF(AND($CE317&gt;0,#REF!="semillon B"),#REF!,0))</f>
        <v>#REF!</v>
      </c>
      <c r="CQ317" s="7" t="e">
        <f>IF(#REF!="","",IF(CE317=0,CC317,0))</f>
        <v>#REF!</v>
      </c>
      <c r="CR317" s="17"/>
      <c r="DE317"/>
    </row>
    <row r="318" spans="81:109" x14ac:dyDescent="0.25">
      <c r="CC318" s="7" t="e">
        <f>IF(#REF!="","",IF(#REF!="PF",#REF!,0))</f>
        <v>#REF!</v>
      </c>
      <c r="CD318" s="7" t="e">
        <f>IF(#REF!="","",IF(#REF!="PF",IF((#REF!+4)&lt;YEAR(#REF!),0,#REF!),0))</f>
        <v>#REF!</v>
      </c>
      <c r="CE318" s="7" t="e">
        <f>IF(#REF!="","",IF(AND(CD318&gt;0,#REF!&lt;&gt;""),CC318,0))</f>
        <v>#REF!</v>
      </c>
      <c r="CF318" s="7" t="e">
        <f>IF(#REF!="","",IF(AND($CE318&gt;0,#REF!= "GRENACHE N"),#REF!,0))</f>
        <v>#REF!</v>
      </c>
      <c r="CG318" s="7" t="e">
        <f>IF(#REF!="","",IF(AND($CE318&gt;0,#REF!="SYRAH N"),#REF!,0))</f>
        <v>#REF!</v>
      </c>
      <c r="CH318" s="7" t="e">
        <f>IF(#REF!="","",IF(AND($CE318&gt;0,#REF!="CINSAUT N"),#REF!,0))</f>
        <v>#REF!</v>
      </c>
      <c r="CI318" s="7" t="e">
        <f>IF(#REF!="","",IF(AND($CE318&gt;0,#REF!="TIBOUREN N"),#REF!,0))</f>
        <v>#REF!</v>
      </c>
      <c r="CJ318" s="7" t="e">
        <f>IF(#REF!="","",IF(AND($CE318&gt;0,#REF!="MOURVEDRE N"),#REF!,0))</f>
        <v>#REF!</v>
      </c>
      <c r="CK318" s="7" t="e">
        <f>IF(#REF!="","",IF(AND($CE318&gt;0,#REF!="CARIGNAN N"),#REF!,0))</f>
        <v>#REF!</v>
      </c>
      <c r="CL318" s="7" t="e">
        <f>IF(#REF!="","",IF(AND($CE318&gt;0,#REF!="CABERNET SAUVIGNON N"),#REF!,0))</f>
        <v>#REF!</v>
      </c>
      <c r="CM318" s="7" t="e">
        <f>IF(#REF!="","",IF(AND($CE318&gt;0,#REF!="VERMENTINO B"),#REF!,0))</f>
        <v>#REF!</v>
      </c>
      <c r="CN318" s="7" t="e">
        <f>IF(#REF!="","",IF(AND($CE318&gt;0,#REF!="UGNI BLANC B"),#REF!,0))</f>
        <v>#REF!</v>
      </c>
      <c r="CO318" s="7" t="e">
        <f>IF(#REF!="","",IF(AND($CE318&gt;0,#REF!="CLAIRETTE B"),#REF!,0))</f>
        <v>#REF!</v>
      </c>
      <c r="CP318" s="7" t="e">
        <f>IF(#REF!="","",IF(AND($CE318&gt;0,#REF!="semillon B"),#REF!,0))</f>
        <v>#REF!</v>
      </c>
      <c r="CQ318" s="7" t="e">
        <f>IF(#REF!="","",IF(CE318=0,CC318,0))</f>
        <v>#REF!</v>
      </c>
      <c r="CR318" s="17"/>
      <c r="DE318"/>
    </row>
    <row r="319" spans="81:109" x14ac:dyDescent="0.25">
      <c r="CC319" s="7" t="e">
        <f>IF(#REF!="","",IF(#REF!="PF",#REF!,0))</f>
        <v>#REF!</v>
      </c>
      <c r="CD319" s="7" t="e">
        <f>IF(#REF!="","",IF(#REF!="PF",IF((#REF!+4)&lt;YEAR(#REF!),0,#REF!),0))</f>
        <v>#REF!</v>
      </c>
      <c r="CE319" s="7" t="e">
        <f>IF(#REF!="","",IF(AND(CD319&gt;0,#REF!&lt;&gt;""),CC319,0))</f>
        <v>#REF!</v>
      </c>
      <c r="CF319" s="7" t="e">
        <f>IF(#REF!="","",IF(AND($CE319&gt;0,#REF!= "GRENACHE N"),#REF!,0))</f>
        <v>#REF!</v>
      </c>
      <c r="CG319" s="7" t="e">
        <f>IF(#REF!="","",IF(AND($CE319&gt;0,#REF!="SYRAH N"),#REF!,0))</f>
        <v>#REF!</v>
      </c>
      <c r="CH319" s="7" t="e">
        <f>IF(#REF!="","",IF(AND($CE319&gt;0,#REF!="CINSAUT N"),#REF!,0))</f>
        <v>#REF!</v>
      </c>
      <c r="CI319" s="7" t="e">
        <f>IF(#REF!="","",IF(AND($CE319&gt;0,#REF!="TIBOUREN N"),#REF!,0))</f>
        <v>#REF!</v>
      </c>
      <c r="CJ319" s="7" t="e">
        <f>IF(#REF!="","",IF(AND($CE319&gt;0,#REF!="MOURVEDRE N"),#REF!,0))</f>
        <v>#REF!</v>
      </c>
      <c r="CK319" s="7" t="e">
        <f>IF(#REF!="","",IF(AND($CE319&gt;0,#REF!="CARIGNAN N"),#REF!,0))</f>
        <v>#REF!</v>
      </c>
      <c r="CL319" s="7" t="e">
        <f>IF(#REF!="","",IF(AND($CE319&gt;0,#REF!="CABERNET SAUVIGNON N"),#REF!,0))</f>
        <v>#REF!</v>
      </c>
      <c r="CM319" s="7" t="e">
        <f>IF(#REF!="","",IF(AND($CE319&gt;0,#REF!="VERMENTINO B"),#REF!,0))</f>
        <v>#REF!</v>
      </c>
      <c r="CN319" s="7" t="e">
        <f>IF(#REF!="","",IF(AND($CE319&gt;0,#REF!="UGNI BLANC B"),#REF!,0))</f>
        <v>#REF!</v>
      </c>
      <c r="CO319" s="7" t="e">
        <f>IF(#REF!="","",IF(AND($CE319&gt;0,#REF!="CLAIRETTE B"),#REF!,0))</f>
        <v>#REF!</v>
      </c>
      <c r="CP319" s="7" t="e">
        <f>IF(#REF!="","",IF(AND($CE319&gt;0,#REF!="semillon B"),#REF!,0))</f>
        <v>#REF!</v>
      </c>
      <c r="CQ319" s="7" t="e">
        <f>IF(#REF!="","",IF(CE319=0,CC319,0))</f>
        <v>#REF!</v>
      </c>
      <c r="CR319" s="17"/>
      <c r="DE319"/>
    </row>
    <row r="320" spans="81:109" x14ac:dyDescent="0.25">
      <c r="CC320" s="7" t="e">
        <f>IF(#REF!="","",IF(#REF!="PF",#REF!,0))</f>
        <v>#REF!</v>
      </c>
      <c r="CD320" s="7" t="e">
        <f>IF(#REF!="","",IF(#REF!="PF",IF((#REF!+4)&lt;YEAR(#REF!),0,#REF!),0))</f>
        <v>#REF!</v>
      </c>
      <c r="CE320" s="7" t="e">
        <f>IF(#REF!="","",IF(AND(CD320&gt;0,#REF!&lt;&gt;""),CC320,0))</f>
        <v>#REF!</v>
      </c>
      <c r="CF320" s="7" t="e">
        <f>IF(#REF!="","",IF(AND($CE320&gt;0,#REF!= "GRENACHE N"),#REF!,0))</f>
        <v>#REF!</v>
      </c>
      <c r="CG320" s="7" t="e">
        <f>IF(#REF!="","",IF(AND($CE320&gt;0,#REF!="SYRAH N"),#REF!,0))</f>
        <v>#REF!</v>
      </c>
      <c r="CH320" s="7" t="e">
        <f>IF(#REF!="","",IF(AND($CE320&gt;0,#REF!="CINSAUT N"),#REF!,0))</f>
        <v>#REF!</v>
      </c>
      <c r="CI320" s="7" t="e">
        <f>IF(#REF!="","",IF(AND($CE320&gt;0,#REF!="TIBOUREN N"),#REF!,0))</f>
        <v>#REF!</v>
      </c>
      <c r="CJ320" s="7" t="e">
        <f>IF(#REF!="","",IF(AND($CE320&gt;0,#REF!="MOURVEDRE N"),#REF!,0))</f>
        <v>#REF!</v>
      </c>
      <c r="CK320" s="7" t="e">
        <f>IF(#REF!="","",IF(AND($CE320&gt;0,#REF!="CARIGNAN N"),#REF!,0))</f>
        <v>#REF!</v>
      </c>
      <c r="CL320" s="7" t="e">
        <f>IF(#REF!="","",IF(AND($CE320&gt;0,#REF!="CABERNET SAUVIGNON N"),#REF!,0))</f>
        <v>#REF!</v>
      </c>
      <c r="CM320" s="7" t="e">
        <f>IF(#REF!="","",IF(AND($CE320&gt;0,#REF!="VERMENTINO B"),#REF!,0))</f>
        <v>#REF!</v>
      </c>
      <c r="CN320" s="7" t="e">
        <f>IF(#REF!="","",IF(AND($CE320&gt;0,#REF!="UGNI BLANC B"),#REF!,0))</f>
        <v>#REF!</v>
      </c>
      <c r="CO320" s="7" t="e">
        <f>IF(#REF!="","",IF(AND($CE320&gt;0,#REF!="CLAIRETTE B"),#REF!,0))</f>
        <v>#REF!</v>
      </c>
      <c r="CP320" s="7" t="e">
        <f>IF(#REF!="","",IF(AND($CE320&gt;0,#REF!="semillon B"),#REF!,0))</f>
        <v>#REF!</v>
      </c>
      <c r="CQ320" s="7" t="e">
        <f>IF(#REF!="","",IF(CE320=0,CC320,0))</f>
        <v>#REF!</v>
      </c>
      <c r="CR320" s="17"/>
      <c r="DE320"/>
    </row>
    <row r="321" spans="81:109" x14ac:dyDescent="0.25">
      <c r="CC321" s="7" t="e">
        <f>IF(#REF!="","",IF(#REF!="PF",#REF!,0))</f>
        <v>#REF!</v>
      </c>
      <c r="CD321" s="7" t="e">
        <f>IF(#REF!="","",IF(#REF!="PF",IF((#REF!+4)&lt;YEAR(#REF!),0,#REF!),0))</f>
        <v>#REF!</v>
      </c>
      <c r="CE321" s="7" t="e">
        <f>IF(#REF!="","",IF(AND(CD321&gt;0,#REF!&lt;&gt;""),CC321,0))</f>
        <v>#REF!</v>
      </c>
      <c r="CF321" s="7" t="e">
        <f>IF(#REF!="","",IF(AND($CE321&gt;0,#REF!= "GRENACHE N"),#REF!,0))</f>
        <v>#REF!</v>
      </c>
      <c r="CG321" s="7" t="e">
        <f>IF(#REF!="","",IF(AND($CE321&gt;0,#REF!="SYRAH N"),#REF!,0))</f>
        <v>#REF!</v>
      </c>
      <c r="CH321" s="7" t="e">
        <f>IF(#REF!="","",IF(AND($CE321&gt;0,#REF!="CINSAUT N"),#REF!,0))</f>
        <v>#REF!</v>
      </c>
      <c r="CI321" s="7" t="e">
        <f>IF(#REF!="","",IF(AND($CE321&gt;0,#REF!="TIBOUREN N"),#REF!,0))</f>
        <v>#REF!</v>
      </c>
      <c r="CJ321" s="7" t="e">
        <f>IF(#REF!="","",IF(AND($CE321&gt;0,#REF!="MOURVEDRE N"),#REF!,0))</f>
        <v>#REF!</v>
      </c>
      <c r="CK321" s="7" t="e">
        <f>IF(#REF!="","",IF(AND($CE321&gt;0,#REF!="CARIGNAN N"),#REF!,0))</f>
        <v>#REF!</v>
      </c>
      <c r="CL321" s="7" t="e">
        <f>IF(#REF!="","",IF(AND($CE321&gt;0,#REF!="CABERNET SAUVIGNON N"),#REF!,0))</f>
        <v>#REF!</v>
      </c>
      <c r="CM321" s="7" t="e">
        <f>IF(#REF!="","",IF(AND($CE321&gt;0,#REF!="VERMENTINO B"),#REF!,0))</f>
        <v>#REF!</v>
      </c>
      <c r="CN321" s="7" t="e">
        <f>IF(#REF!="","",IF(AND($CE321&gt;0,#REF!="UGNI BLANC B"),#REF!,0))</f>
        <v>#REF!</v>
      </c>
      <c r="CO321" s="7" t="e">
        <f>IF(#REF!="","",IF(AND($CE321&gt;0,#REF!="CLAIRETTE B"),#REF!,0))</f>
        <v>#REF!</v>
      </c>
      <c r="CP321" s="7" t="e">
        <f>IF(#REF!="","",IF(AND($CE321&gt;0,#REF!="semillon B"),#REF!,0))</f>
        <v>#REF!</v>
      </c>
      <c r="CQ321" s="7" t="e">
        <f>IF(#REF!="","",IF(CE321=0,CC321,0))</f>
        <v>#REF!</v>
      </c>
      <c r="CR321" s="17"/>
      <c r="DE321"/>
    </row>
    <row r="322" spans="81:109" x14ac:dyDescent="0.25">
      <c r="CC322" s="7" t="e">
        <f>IF(#REF!="","",IF(#REF!="PF",#REF!,0))</f>
        <v>#REF!</v>
      </c>
      <c r="CD322" s="7" t="e">
        <f>IF(#REF!="","",IF(#REF!="PF",IF((#REF!+4)&lt;YEAR(#REF!),0,#REF!),0))</f>
        <v>#REF!</v>
      </c>
      <c r="CE322" s="7" t="e">
        <f>IF(#REF!="","",IF(AND(CD322&gt;0,#REF!&lt;&gt;""),CC322,0))</f>
        <v>#REF!</v>
      </c>
      <c r="CF322" s="7" t="e">
        <f>IF(#REF!="","",IF(AND($CE322&gt;0,#REF!= "GRENACHE N"),#REF!,0))</f>
        <v>#REF!</v>
      </c>
      <c r="CG322" s="7" t="e">
        <f>IF(#REF!="","",IF(AND($CE322&gt;0,#REF!="SYRAH N"),#REF!,0))</f>
        <v>#REF!</v>
      </c>
      <c r="CH322" s="7" t="e">
        <f>IF(#REF!="","",IF(AND($CE322&gt;0,#REF!="CINSAUT N"),#REF!,0))</f>
        <v>#REF!</v>
      </c>
      <c r="CI322" s="7" t="e">
        <f>IF(#REF!="","",IF(AND($CE322&gt;0,#REF!="TIBOUREN N"),#REF!,0))</f>
        <v>#REF!</v>
      </c>
      <c r="CJ322" s="7" t="e">
        <f>IF(#REF!="","",IF(AND($CE322&gt;0,#REF!="MOURVEDRE N"),#REF!,0))</f>
        <v>#REF!</v>
      </c>
      <c r="CK322" s="7" t="e">
        <f>IF(#REF!="","",IF(AND($CE322&gt;0,#REF!="CARIGNAN N"),#REF!,0))</f>
        <v>#REF!</v>
      </c>
      <c r="CL322" s="7" t="e">
        <f>IF(#REF!="","",IF(AND($CE322&gt;0,#REF!="CABERNET SAUVIGNON N"),#REF!,0))</f>
        <v>#REF!</v>
      </c>
      <c r="CM322" s="7" t="e">
        <f>IF(#REF!="","",IF(AND($CE322&gt;0,#REF!="VERMENTINO B"),#REF!,0))</f>
        <v>#REF!</v>
      </c>
      <c r="CN322" s="7" t="e">
        <f>IF(#REF!="","",IF(AND($CE322&gt;0,#REF!="UGNI BLANC B"),#REF!,0))</f>
        <v>#REF!</v>
      </c>
      <c r="CO322" s="7" t="e">
        <f>IF(#REF!="","",IF(AND($CE322&gt;0,#REF!="CLAIRETTE B"),#REF!,0))</f>
        <v>#REF!</v>
      </c>
      <c r="CP322" s="7" t="e">
        <f>IF(#REF!="","",IF(AND($CE322&gt;0,#REF!="semillon B"),#REF!,0))</f>
        <v>#REF!</v>
      </c>
      <c r="CQ322" s="7" t="e">
        <f>IF(#REF!="","",IF(CE322=0,CC322,0))</f>
        <v>#REF!</v>
      </c>
      <c r="CR322" s="17"/>
      <c r="DE322"/>
    </row>
    <row r="323" spans="81:109" x14ac:dyDescent="0.25">
      <c r="CC323" s="7" t="e">
        <f>IF(#REF!="","",IF(#REF!="PF",#REF!,0))</f>
        <v>#REF!</v>
      </c>
      <c r="CD323" s="7" t="e">
        <f>IF(#REF!="","",IF(#REF!="PF",IF((#REF!+4)&lt;YEAR(#REF!),0,#REF!),0))</f>
        <v>#REF!</v>
      </c>
      <c r="CE323" s="7" t="e">
        <f>IF(#REF!="","",IF(AND(CD323&gt;0,#REF!&lt;&gt;""),CC323,0))</f>
        <v>#REF!</v>
      </c>
      <c r="CF323" s="7" t="e">
        <f>IF(#REF!="","",IF(AND($CE323&gt;0,#REF!= "GRENACHE N"),#REF!,0))</f>
        <v>#REF!</v>
      </c>
      <c r="CG323" s="7" t="e">
        <f>IF(#REF!="","",IF(AND($CE323&gt;0,#REF!="SYRAH N"),#REF!,0))</f>
        <v>#REF!</v>
      </c>
      <c r="CH323" s="7" t="e">
        <f>IF(#REF!="","",IF(AND($CE323&gt;0,#REF!="CINSAUT N"),#REF!,0))</f>
        <v>#REF!</v>
      </c>
      <c r="CI323" s="7" t="e">
        <f>IF(#REF!="","",IF(AND($CE323&gt;0,#REF!="TIBOUREN N"),#REF!,0))</f>
        <v>#REF!</v>
      </c>
      <c r="CJ323" s="7" t="e">
        <f>IF(#REF!="","",IF(AND($CE323&gt;0,#REF!="MOURVEDRE N"),#REF!,0))</f>
        <v>#REF!</v>
      </c>
      <c r="CK323" s="7" t="e">
        <f>IF(#REF!="","",IF(AND($CE323&gt;0,#REF!="CARIGNAN N"),#REF!,0))</f>
        <v>#REF!</v>
      </c>
      <c r="CL323" s="7" t="e">
        <f>IF(#REF!="","",IF(AND($CE323&gt;0,#REF!="CABERNET SAUVIGNON N"),#REF!,0))</f>
        <v>#REF!</v>
      </c>
      <c r="CM323" s="7" t="e">
        <f>IF(#REF!="","",IF(AND($CE323&gt;0,#REF!="VERMENTINO B"),#REF!,0))</f>
        <v>#REF!</v>
      </c>
      <c r="CN323" s="7" t="e">
        <f>IF(#REF!="","",IF(AND($CE323&gt;0,#REF!="UGNI BLANC B"),#REF!,0))</f>
        <v>#REF!</v>
      </c>
      <c r="CO323" s="7" t="e">
        <f>IF(#REF!="","",IF(AND($CE323&gt;0,#REF!="CLAIRETTE B"),#REF!,0))</f>
        <v>#REF!</v>
      </c>
      <c r="CP323" s="7" t="e">
        <f>IF(#REF!="","",IF(AND($CE323&gt;0,#REF!="semillon B"),#REF!,0))</f>
        <v>#REF!</v>
      </c>
      <c r="CQ323" s="7" t="e">
        <f>IF(#REF!="","",IF(CE323=0,CC323,0))</f>
        <v>#REF!</v>
      </c>
      <c r="CR323" s="17"/>
      <c r="DE323"/>
    </row>
    <row r="324" spans="81:109" x14ac:dyDescent="0.25">
      <c r="CC324" s="7" t="e">
        <f>IF(#REF!="","",IF(#REF!="PF",#REF!,0))</f>
        <v>#REF!</v>
      </c>
      <c r="CD324" s="7" t="e">
        <f>IF(#REF!="","",IF(#REF!="PF",IF((#REF!+4)&lt;YEAR(#REF!),0,#REF!),0))</f>
        <v>#REF!</v>
      </c>
      <c r="CE324" s="7" t="e">
        <f>IF(#REF!="","",IF(AND(CD324&gt;0,#REF!&lt;&gt;""),CC324,0))</f>
        <v>#REF!</v>
      </c>
      <c r="CF324" s="7" t="e">
        <f>IF(#REF!="","",IF(AND($CE324&gt;0,#REF!= "GRENACHE N"),#REF!,0))</f>
        <v>#REF!</v>
      </c>
      <c r="CG324" s="7" t="e">
        <f>IF(#REF!="","",IF(AND($CE324&gt;0,#REF!="SYRAH N"),#REF!,0))</f>
        <v>#REF!</v>
      </c>
      <c r="CH324" s="7" t="e">
        <f>IF(#REF!="","",IF(AND($CE324&gt;0,#REF!="CINSAUT N"),#REF!,0))</f>
        <v>#REF!</v>
      </c>
      <c r="CI324" s="7" t="e">
        <f>IF(#REF!="","",IF(AND($CE324&gt;0,#REF!="TIBOUREN N"),#REF!,0))</f>
        <v>#REF!</v>
      </c>
      <c r="CJ324" s="7" t="e">
        <f>IF(#REF!="","",IF(AND($CE324&gt;0,#REF!="MOURVEDRE N"),#REF!,0))</f>
        <v>#REF!</v>
      </c>
      <c r="CK324" s="7" t="e">
        <f>IF(#REF!="","",IF(AND($CE324&gt;0,#REF!="CARIGNAN N"),#REF!,0))</f>
        <v>#REF!</v>
      </c>
      <c r="CL324" s="7" t="e">
        <f>IF(#REF!="","",IF(AND($CE324&gt;0,#REF!="CABERNET SAUVIGNON N"),#REF!,0))</f>
        <v>#REF!</v>
      </c>
      <c r="CM324" s="7" t="e">
        <f>IF(#REF!="","",IF(AND($CE324&gt;0,#REF!="VERMENTINO B"),#REF!,0))</f>
        <v>#REF!</v>
      </c>
      <c r="CN324" s="7" t="e">
        <f>IF(#REF!="","",IF(AND($CE324&gt;0,#REF!="UGNI BLANC B"),#REF!,0))</f>
        <v>#REF!</v>
      </c>
      <c r="CO324" s="7" t="e">
        <f>IF(#REF!="","",IF(AND($CE324&gt;0,#REF!="CLAIRETTE B"),#REF!,0))</f>
        <v>#REF!</v>
      </c>
      <c r="CP324" s="7" t="e">
        <f>IF(#REF!="","",IF(AND($CE324&gt;0,#REF!="semillon B"),#REF!,0))</f>
        <v>#REF!</v>
      </c>
      <c r="CQ324" s="7" t="e">
        <f>IF(#REF!="","",IF(CE324=0,CC324,0))</f>
        <v>#REF!</v>
      </c>
      <c r="CR324" s="17"/>
      <c r="DE324"/>
    </row>
    <row r="325" spans="81:109" x14ac:dyDescent="0.25">
      <c r="CC325" s="7" t="e">
        <f>IF(#REF!="","",IF(#REF!="PF",#REF!,0))</f>
        <v>#REF!</v>
      </c>
      <c r="CD325" s="7" t="e">
        <f>IF(#REF!="","",IF(#REF!="PF",IF((#REF!+4)&lt;YEAR(#REF!),0,#REF!),0))</f>
        <v>#REF!</v>
      </c>
      <c r="CE325" s="7" t="e">
        <f>IF(#REF!="","",IF(AND(CD325&gt;0,#REF!&lt;&gt;""),CC325,0))</f>
        <v>#REF!</v>
      </c>
      <c r="CF325" s="7" t="e">
        <f>IF(#REF!="","",IF(AND($CE325&gt;0,#REF!= "GRENACHE N"),#REF!,0))</f>
        <v>#REF!</v>
      </c>
      <c r="CG325" s="7" t="e">
        <f>IF(#REF!="","",IF(AND($CE325&gt;0,#REF!="SYRAH N"),#REF!,0))</f>
        <v>#REF!</v>
      </c>
      <c r="CH325" s="7" t="e">
        <f>IF(#REF!="","",IF(AND($CE325&gt;0,#REF!="CINSAUT N"),#REF!,0))</f>
        <v>#REF!</v>
      </c>
      <c r="CI325" s="7" t="e">
        <f>IF(#REF!="","",IF(AND($CE325&gt;0,#REF!="TIBOUREN N"),#REF!,0))</f>
        <v>#REF!</v>
      </c>
      <c r="CJ325" s="7" t="e">
        <f>IF(#REF!="","",IF(AND($CE325&gt;0,#REF!="MOURVEDRE N"),#REF!,0))</f>
        <v>#REF!</v>
      </c>
      <c r="CK325" s="7" t="e">
        <f>IF(#REF!="","",IF(AND($CE325&gt;0,#REF!="CARIGNAN N"),#REF!,0))</f>
        <v>#REF!</v>
      </c>
      <c r="CL325" s="7" t="e">
        <f>IF(#REF!="","",IF(AND($CE325&gt;0,#REF!="CABERNET SAUVIGNON N"),#REF!,0))</f>
        <v>#REF!</v>
      </c>
      <c r="CM325" s="7" t="e">
        <f>IF(#REF!="","",IF(AND($CE325&gt;0,#REF!="VERMENTINO B"),#REF!,0))</f>
        <v>#REF!</v>
      </c>
      <c r="CN325" s="7" t="e">
        <f>IF(#REF!="","",IF(AND($CE325&gt;0,#REF!="UGNI BLANC B"),#REF!,0))</f>
        <v>#REF!</v>
      </c>
      <c r="CO325" s="7" t="e">
        <f>IF(#REF!="","",IF(AND($CE325&gt;0,#REF!="CLAIRETTE B"),#REF!,0))</f>
        <v>#REF!</v>
      </c>
      <c r="CP325" s="7" t="e">
        <f>IF(#REF!="","",IF(AND($CE325&gt;0,#REF!="semillon B"),#REF!,0))</f>
        <v>#REF!</v>
      </c>
      <c r="CQ325" s="7" t="e">
        <f>IF(#REF!="","",IF(CE325=0,CC325,0))</f>
        <v>#REF!</v>
      </c>
      <c r="CR325" s="17"/>
      <c r="DE325"/>
    </row>
    <row r="326" spans="81:109" x14ac:dyDescent="0.25">
      <c r="CC326" s="7" t="e">
        <f>IF(#REF!="","",IF(#REF!="PF",#REF!,0))</f>
        <v>#REF!</v>
      </c>
      <c r="CD326" s="7" t="e">
        <f>IF(#REF!="","",IF(#REF!="PF",IF((#REF!+4)&lt;YEAR(#REF!),0,#REF!),0))</f>
        <v>#REF!</v>
      </c>
      <c r="CE326" s="7" t="e">
        <f>IF(#REF!="","",IF(AND(CD326&gt;0,#REF!&lt;&gt;""),CC326,0))</f>
        <v>#REF!</v>
      </c>
      <c r="CF326" s="7" t="e">
        <f>IF(#REF!="","",IF(AND($CE326&gt;0,#REF!= "GRENACHE N"),#REF!,0))</f>
        <v>#REF!</v>
      </c>
      <c r="CG326" s="7" t="e">
        <f>IF(#REF!="","",IF(AND($CE326&gt;0,#REF!="SYRAH N"),#REF!,0))</f>
        <v>#REF!</v>
      </c>
      <c r="CH326" s="7" t="e">
        <f>IF(#REF!="","",IF(AND($CE326&gt;0,#REF!="CINSAUT N"),#REF!,0))</f>
        <v>#REF!</v>
      </c>
      <c r="CI326" s="7" t="e">
        <f>IF(#REF!="","",IF(AND($CE326&gt;0,#REF!="TIBOUREN N"),#REF!,0))</f>
        <v>#REF!</v>
      </c>
      <c r="CJ326" s="7" t="e">
        <f>IF(#REF!="","",IF(AND($CE326&gt;0,#REF!="MOURVEDRE N"),#REF!,0))</f>
        <v>#REF!</v>
      </c>
      <c r="CK326" s="7" t="e">
        <f>IF(#REF!="","",IF(AND($CE326&gt;0,#REF!="CARIGNAN N"),#REF!,0))</f>
        <v>#REF!</v>
      </c>
      <c r="CL326" s="7" t="e">
        <f>IF(#REF!="","",IF(AND($CE326&gt;0,#REF!="CABERNET SAUVIGNON N"),#REF!,0))</f>
        <v>#REF!</v>
      </c>
      <c r="CM326" s="7" t="e">
        <f>IF(#REF!="","",IF(AND($CE326&gt;0,#REF!="VERMENTINO B"),#REF!,0))</f>
        <v>#REF!</v>
      </c>
      <c r="CN326" s="7" t="e">
        <f>IF(#REF!="","",IF(AND($CE326&gt;0,#REF!="UGNI BLANC B"),#REF!,0))</f>
        <v>#REF!</v>
      </c>
      <c r="CO326" s="7" t="e">
        <f>IF(#REF!="","",IF(AND($CE326&gt;0,#REF!="CLAIRETTE B"),#REF!,0))</f>
        <v>#REF!</v>
      </c>
      <c r="CP326" s="7" t="e">
        <f>IF(#REF!="","",IF(AND($CE326&gt;0,#REF!="semillon B"),#REF!,0))</f>
        <v>#REF!</v>
      </c>
      <c r="CQ326" s="7" t="e">
        <f>IF(#REF!="","",IF(CE326=0,CC326,0))</f>
        <v>#REF!</v>
      </c>
      <c r="CR326" s="17"/>
      <c r="DE326"/>
    </row>
    <row r="327" spans="81:109" x14ac:dyDescent="0.25">
      <c r="CC327" s="7" t="e">
        <f>IF(#REF!="","",IF(#REF!="PF",#REF!,0))</f>
        <v>#REF!</v>
      </c>
      <c r="CD327" s="7" t="e">
        <f>IF(#REF!="","",IF(#REF!="PF",IF((#REF!+4)&lt;YEAR(#REF!),0,#REF!),0))</f>
        <v>#REF!</v>
      </c>
      <c r="CE327" s="7" t="e">
        <f>IF(#REF!="","",IF(AND(CD327&gt;0,#REF!&lt;&gt;""),CC327,0))</f>
        <v>#REF!</v>
      </c>
      <c r="CF327" s="7" t="e">
        <f>IF(#REF!="","",IF(AND($CE327&gt;0,#REF!= "GRENACHE N"),#REF!,0))</f>
        <v>#REF!</v>
      </c>
      <c r="CG327" s="7" t="e">
        <f>IF(#REF!="","",IF(AND($CE327&gt;0,#REF!="SYRAH N"),#REF!,0))</f>
        <v>#REF!</v>
      </c>
      <c r="CH327" s="7" t="e">
        <f>IF(#REF!="","",IF(AND($CE327&gt;0,#REF!="CINSAUT N"),#REF!,0))</f>
        <v>#REF!</v>
      </c>
      <c r="CI327" s="7" t="e">
        <f>IF(#REF!="","",IF(AND($CE327&gt;0,#REF!="TIBOUREN N"),#REF!,0))</f>
        <v>#REF!</v>
      </c>
      <c r="CJ327" s="7" t="e">
        <f>IF(#REF!="","",IF(AND($CE327&gt;0,#REF!="MOURVEDRE N"),#REF!,0))</f>
        <v>#REF!</v>
      </c>
      <c r="CK327" s="7" t="e">
        <f>IF(#REF!="","",IF(AND($CE327&gt;0,#REF!="CARIGNAN N"),#REF!,0))</f>
        <v>#REF!</v>
      </c>
      <c r="CL327" s="7" t="e">
        <f>IF(#REF!="","",IF(AND($CE327&gt;0,#REF!="CABERNET SAUVIGNON N"),#REF!,0))</f>
        <v>#REF!</v>
      </c>
      <c r="CM327" s="7" t="e">
        <f>IF(#REF!="","",IF(AND($CE327&gt;0,#REF!="VERMENTINO B"),#REF!,0))</f>
        <v>#REF!</v>
      </c>
      <c r="CN327" s="7" t="e">
        <f>IF(#REF!="","",IF(AND($CE327&gt;0,#REF!="UGNI BLANC B"),#REF!,0))</f>
        <v>#REF!</v>
      </c>
      <c r="CO327" s="7" t="e">
        <f>IF(#REF!="","",IF(AND($CE327&gt;0,#REF!="CLAIRETTE B"),#REF!,0))</f>
        <v>#REF!</v>
      </c>
      <c r="CP327" s="7" t="e">
        <f>IF(#REF!="","",IF(AND($CE327&gt;0,#REF!="semillon B"),#REF!,0))</f>
        <v>#REF!</v>
      </c>
      <c r="CQ327" s="7" t="e">
        <f>IF(#REF!="","",IF(CE327=0,CC327,0))</f>
        <v>#REF!</v>
      </c>
      <c r="CR327" s="17"/>
      <c r="DE327"/>
    </row>
    <row r="328" spans="81:109" x14ac:dyDescent="0.25">
      <c r="CC328" s="7" t="e">
        <f>IF(#REF!="","",IF(#REF!="PF",#REF!,0))</f>
        <v>#REF!</v>
      </c>
      <c r="CD328" s="7" t="e">
        <f>IF(#REF!="","",IF(#REF!="PF",IF((#REF!+4)&lt;YEAR(#REF!),0,#REF!),0))</f>
        <v>#REF!</v>
      </c>
      <c r="CE328" s="7" t="e">
        <f>IF(#REF!="","",IF(AND(CD328&gt;0,#REF!&lt;&gt;""),CC328,0))</f>
        <v>#REF!</v>
      </c>
      <c r="CF328" s="7" t="e">
        <f>IF(#REF!="","",IF(AND($CE328&gt;0,#REF!= "GRENACHE N"),#REF!,0))</f>
        <v>#REF!</v>
      </c>
      <c r="CG328" s="7" t="e">
        <f>IF(#REF!="","",IF(AND($CE328&gt;0,#REF!="SYRAH N"),#REF!,0))</f>
        <v>#REF!</v>
      </c>
      <c r="CH328" s="7" t="e">
        <f>IF(#REF!="","",IF(AND($CE328&gt;0,#REF!="CINSAUT N"),#REF!,0))</f>
        <v>#REF!</v>
      </c>
      <c r="CI328" s="7" t="e">
        <f>IF(#REF!="","",IF(AND($CE328&gt;0,#REF!="TIBOUREN N"),#REF!,0))</f>
        <v>#REF!</v>
      </c>
      <c r="CJ328" s="7" t="e">
        <f>IF(#REF!="","",IF(AND($CE328&gt;0,#REF!="MOURVEDRE N"),#REF!,0))</f>
        <v>#REF!</v>
      </c>
      <c r="CK328" s="7" t="e">
        <f>IF(#REF!="","",IF(AND($CE328&gt;0,#REF!="CARIGNAN N"),#REF!,0))</f>
        <v>#REF!</v>
      </c>
      <c r="CL328" s="7" t="e">
        <f>IF(#REF!="","",IF(AND($CE328&gt;0,#REF!="CABERNET SAUVIGNON N"),#REF!,0))</f>
        <v>#REF!</v>
      </c>
      <c r="CM328" s="7" t="e">
        <f>IF(#REF!="","",IF(AND($CE328&gt;0,#REF!="VERMENTINO B"),#REF!,0))</f>
        <v>#REF!</v>
      </c>
      <c r="CN328" s="7" t="e">
        <f>IF(#REF!="","",IF(AND($CE328&gt;0,#REF!="UGNI BLANC B"),#REF!,0))</f>
        <v>#REF!</v>
      </c>
      <c r="CO328" s="7" t="e">
        <f>IF(#REF!="","",IF(AND($CE328&gt;0,#REF!="CLAIRETTE B"),#REF!,0))</f>
        <v>#REF!</v>
      </c>
      <c r="CP328" s="7" t="e">
        <f>IF(#REF!="","",IF(AND($CE328&gt;0,#REF!="semillon B"),#REF!,0))</f>
        <v>#REF!</v>
      </c>
      <c r="CQ328" s="7" t="e">
        <f>IF(#REF!="","",IF(CE328=0,CC328,0))</f>
        <v>#REF!</v>
      </c>
      <c r="CR328" s="17"/>
      <c r="DE328"/>
    </row>
    <row r="329" spans="81:109" x14ac:dyDescent="0.25">
      <c r="CC329" s="7" t="e">
        <f>IF(#REF!="","",IF(#REF!="PF",#REF!,0))</f>
        <v>#REF!</v>
      </c>
      <c r="CD329" s="7" t="e">
        <f>IF(#REF!="","",IF(#REF!="PF",IF((#REF!+4)&lt;YEAR(#REF!),0,#REF!),0))</f>
        <v>#REF!</v>
      </c>
      <c r="CE329" s="7" t="e">
        <f>IF(#REF!="","",IF(AND(CD329&gt;0,#REF!&lt;&gt;""),CC329,0))</f>
        <v>#REF!</v>
      </c>
      <c r="CF329" s="7" t="e">
        <f>IF(#REF!="","",IF(AND($CE329&gt;0,#REF!= "GRENACHE N"),#REF!,0))</f>
        <v>#REF!</v>
      </c>
      <c r="CG329" s="7" t="e">
        <f>IF(#REF!="","",IF(AND($CE329&gt;0,#REF!="SYRAH N"),#REF!,0))</f>
        <v>#REF!</v>
      </c>
      <c r="CH329" s="7" t="e">
        <f>IF(#REF!="","",IF(AND($CE329&gt;0,#REF!="CINSAUT N"),#REF!,0))</f>
        <v>#REF!</v>
      </c>
      <c r="CI329" s="7" t="e">
        <f>IF(#REF!="","",IF(AND($CE329&gt;0,#REF!="TIBOUREN N"),#REF!,0))</f>
        <v>#REF!</v>
      </c>
      <c r="CJ329" s="7" t="e">
        <f>IF(#REF!="","",IF(AND($CE329&gt;0,#REF!="MOURVEDRE N"),#REF!,0))</f>
        <v>#REF!</v>
      </c>
      <c r="CK329" s="7" t="e">
        <f>IF(#REF!="","",IF(AND($CE329&gt;0,#REF!="CARIGNAN N"),#REF!,0))</f>
        <v>#REF!</v>
      </c>
      <c r="CL329" s="7" t="e">
        <f>IF(#REF!="","",IF(AND($CE329&gt;0,#REF!="CABERNET SAUVIGNON N"),#REF!,0))</f>
        <v>#REF!</v>
      </c>
      <c r="CM329" s="7" t="e">
        <f>IF(#REF!="","",IF(AND($CE329&gt;0,#REF!="VERMENTINO B"),#REF!,0))</f>
        <v>#REF!</v>
      </c>
      <c r="CN329" s="7" t="e">
        <f>IF(#REF!="","",IF(AND($CE329&gt;0,#REF!="UGNI BLANC B"),#REF!,0))</f>
        <v>#REF!</v>
      </c>
      <c r="CO329" s="7" t="e">
        <f>IF(#REF!="","",IF(AND($CE329&gt;0,#REF!="CLAIRETTE B"),#REF!,0))</f>
        <v>#REF!</v>
      </c>
      <c r="CP329" s="7" t="e">
        <f>IF(#REF!="","",IF(AND($CE329&gt;0,#REF!="semillon B"),#REF!,0))</f>
        <v>#REF!</v>
      </c>
      <c r="CQ329" s="7" t="e">
        <f>IF(#REF!="","",IF(CE329=0,CC329,0))</f>
        <v>#REF!</v>
      </c>
      <c r="CR329" s="17"/>
      <c r="DE329"/>
    </row>
    <row r="330" spans="81:109" x14ac:dyDescent="0.25">
      <c r="CC330" s="7" t="e">
        <f>IF(#REF!="","",IF(#REF!="PF",#REF!,0))</f>
        <v>#REF!</v>
      </c>
      <c r="CD330" s="7" t="e">
        <f>IF(#REF!="","",IF(#REF!="PF",IF((#REF!+4)&lt;YEAR(#REF!),0,#REF!),0))</f>
        <v>#REF!</v>
      </c>
      <c r="CE330" s="7" t="e">
        <f>IF(#REF!="","",IF(AND(CD330&gt;0,#REF!&lt;&gt;""),CC330,0))</f>
        <v>#REF!</v>
      </c>
      <c r="CF330" s="7" t="e">
        <f>IF(#REF!="","",IF(AND($CE330&gt;0,#REF!= "GRENACHE N"),#REF!,0))</f>
        <v>#REF!</v>
      </c>
      <c r="CG330" s="7" t="e">
        <f>IF(#REF!="","",IF(AND($CE330&gt;0,#REF!="SYRAH N"),#REF!,0))</f>
        <v>#REF!</v>
      </c>
      <c r="CH330" s="7" t="e">
        <f>IF(#REF!="","",IF(AND($CE330&gt;0,#REF!="CINSAUT N"),#REF!,0))</f>
        <v>#REF!</v>
      </c>
      <c r="CI330" s="7" t="e">
        <f>IF(#REF!="","",IF(AND($CE330&gt;0,#REF!="TIBOUREN N"),#REF!,0))</f>
        <v>#REF!</v>
      </c>
      <c r="CJ330" s="7" t="e">
        <f>IF(#REF!="","",IF(AND($CE330&gt;0,#REF!="MOURVEDRE N"),#REF!,0))</f>
        <v>#REF!</v>
      </c>
      <c r="CK330" s="7" t="e">
        <f>IF(#REF!="","",IF(AND($CE330&gt;0,#REF!="CARIGNAN N"),#REF!,0))</f>
        <v>#REF!</v>
      </c>
      <c r="CL330" s="7" t="e">
        <f>IF(#REF!="","",IF(AND($CE330&gt;0,#REF!="CABERNET SAUVIGNON N"),#REF!,0))</f>
        <v>#REF!</v>
      </c>
      <c r="CM330" s="7" t="e">
        <f>IF(#REF!="","",IF(AND($CE330&gt;0,#REF!="VERMENTINO B"),#REF!,0))</f>
        <v>#REF!</v>
      </c>
      <c r="CN330" s="7" t="e">
        <f>IF(#REF!="","",IF(AND($CE330&gt;0,#REF!="UGNI BLANC B"),#REF!,0))</f>
        <v>#REF!</v>
      </c>
      <c r="CO330" s="7" t="e">
        <f>IF(#REF!="","",IF(AND($CE330&gt;0,#REF!="CLAIRETTE B"),#REF!,0))</f>
        <v>#REF!</v>
      </c>
      <c r="CP330" s="7" t="e">
        <f>IF(#REF!="","",IF(AND($CE330&gt;0,#REF!="semillon B"),#REF!,0))</f>
        <v>#REF!</v>
      </c>
      <c r="CQ330" s="7" t="e">
        <f>IF(#REF!="","",IF(CE330=0,CC330,0))</f>
        <v>#REF!</v>
      </c>
      <c r="CR330" s="17"/>
      <c r="DE330"/>
    </row>
    <row r="331" spans="81:109" x14ac:dyDescent="0.25">
      <c r="CC331" s="7" t="e">
        <f>IF(#REF!="","",IF(#REF!="PF",#REF!,0))</f>
        <v>#REF!</v>
      </c>
      <c r="CD331" s="7" t="e">
        <f>IF(#REF!="","",IF(#REF!="PF",IF((#REF!+4)&lt;YEAR(#REF!),0,#REF!),0))</f>
        <v>#REF!</v>
      </c>
      <c r="CE331" s="7" t="e">
        <f>IF(#REF!="","",IF(AND(CD331&gt;0,#REF!&lt;&gt;""),CC331,0))</f>
        <v>#REF!</v>
      </c>
      <c r="CF331" s="7" t="e">
        <f>IF(#REF!="","",IF(AND($CE331&gt;0,#REF!= "GRENACHE N"),#REF!,0))</f>
        <v>#REF!</v>
      </c>
      <c r="CG331" s="7" t="e">
        <f>IF(#REF!="","",IF(AND($CE331&gt;0,#REF!="SYRAH N"),#REF!,0))</f>
        <v>#REF!</v>
      </c>
      <c r="CH331" s="7" t="e">
        <f>IF(#REF!="","",IF(AND($CE331&gt;0,#REF!="CINSAUT N"),#REF!,0))</f>
        <v>#REF!</v>
      </c>
      <c r="CI331" s="7" t="e">
        <f>IF(#REF!="","",IF(AND($CE331&gt;0,#REF!="TIBOUREN N"),#REF!,0))</f>
        <v>#REF!</v>
      </c>
      <c r="CJ331" s="7" t="e">
        <f>IF(#REF!="","",IF(AND($CE331&gt;0,#REF!="MOURVEDRE N"),#REF!,0))</f>
        <v>#REF!</v>
      </c>
      <c r="CK331" s="7" t="e">
        <f>IF(#REF!="","",IF(AND($CE331&gt;0,#REF!="CARIGNAN N"),#REF!,0))</f>
        <v>#REF!</v>
      </c>
      <c r="CL331" s="7" t="e">
        <f>IF(#REF!="","",IF(AND($CE331&gt;0,#REF!="CABERNET SAUVIGNON N"),#REF!,0))</f>
        <v>#REF!</v>
      </c>
      <c r="CM331" s="7" t="e">
        <f>IF(#REF!="","",IF(AND($CE331&gt;0,#REF!="VERMENTINO B"),#REF!,0))</f>
        <v>#REF!</v>
      </c>
      <c r="CN331" s="7" t="e">
        <f>IF(#REF!="","",IF(AND($CE331&gt;0,#REF!="UGNI BLANC B"),#REF!,0))</f>
        <v>#REF!</v>
      </c>
      <c r="CO331" s="7" t="e">
        <f>IF(#REF!="","",IF(AND($CE331&gt;0,#REF!="CLAIRETTE B"),#REF!,0))</f>
        <v>#REF!</v>
      </c>
      <c r="CP331" s="7" t="e">
        <f>IF(#REF!="","",IF(AND($CE331&gt;0,#REF!="semillon B"),#REF!,0))</f>
        <v>#REF!</v>
      </c>
      <c r="CQ331" s="7" t="e">
        <f>IF(#REF!="","",IF(CE331=0,CC331,0))</f>
        <v>#REF!</v>
      </c>
      <c r="CR331" s="17"/>
      <c r="DE331"/>
    </row>
    <row r="332" spans="81:109" x14ac:dyDescent="0.25">
      <c r="CC332" s="7" t="e">
        <f>IF(#REF!="","",IF(#REF!="PF",#REF!,0))</f>
        <v>#REF!</v>
      </c>
      <c r="CD332" s="7" t="e">
        <f>IF(#REF!="","",IF(#REF!="PF",IF((#REF!+4)&lt;YEAR(#REF!),0,#REF!),0))</f>
        <v>#REF!</v>
      </c>
      <c r="CE332" s="7" t="e">
        <f>IF(#REF!="","",IF(AND(CD332&gt;0,#REF!&lt;&gt;""),CC332,0))</f>
        <v>#REF!</v>
      </c>
      <c r="CF332" s="7" t="e">
        <f>IF(#REF!="","",IF(AND($CE332&gt;0,#REF!= "GRENACHE N"),#REF!,0))</f>
        <v>#REF!</v>
      </c>
      <c r="CG332" s="7" t="e">
        <f>IF(#REF!="","",IF(AND($CE332&gt;0,#REF!="SYRAH N"),#REF!,0))</f>
        <v>#REF!</v>
      </c>
      <c r="CH332" s="7" t="e">
        <f>IF(#REF!="","",IF(AND($CE332&gt;0,#REF!="CINSAUT N"),#REF!,0))</f>
        <v>#REF!</v>
      </c>
      <c r="CI332" s="7" t="e">
        <f>IF(#REF!="","",IF(AND($CE332&gt;0,#REF!="TIBOUREN N"),#REF!,0))</f>
        <v>#REF!</v>
      </c>
      <c r="CJ332" s="7" t="e">
        <f>IF(#REF!="","",IF(AND($CE332&gt;0,#REF!="MOURVEDRE N"),#REF!,0))</f>
        <v>#REF!</v>
      </c>
      <c r="CK332" s="7" t="e">
        <f>IF(#REF!="","",IF(AND($CE332&gt;0,#REF!="CARIGNAN N"),#REF!,0))</f>
        <v>#REF!</v>
      </c>
      <c r="CL332" s="7" t="e">
        <f>IF(#REF!="","",IF(AND($CE332&gt;0,#REF!="CABERNET SAUVIGNON N"),#REF!,0))</f>
        <v>#REF!</v>
      </c>
      <c r="CM332" s="7" t="e">
        <f>IF(#REF!="","",IF(AND($CE332&gt;0,#REF!="VERMENTINO B"),#REF!,0))</f>
        <v>#REF!</v>
      </c>
      <c r="CN332" s="7" t="e">
        <f>IF(#REF!="","",IF(AND($CE332&gt;0,#REF!="UGNI BLANC B"),#REF!,0))</f>
        <v>#REF!</v>
      </c>
      <c r="CO332" s="7" t="e">
        <f>IF(#REF!="","",IF(AND($CE332&gt;0,#REF!="CLAIRETTE B"),#REF!,0))</f>
        <v>#REF!</v>
      </c>
      <c r="CP332" s="7" t="e">
        <f>IF(#REF!="","",IF(AND($CE332&gt;0,#REF!="semillon B"),#REF!,0))</f>
        <v>#REF!</v>
      </c>
      <c r="CQ332" s="7" t="e">
        <f>IF(#REF!="","",IF(CE332=0,CC332,0))</f>
        <v>#REF!</v>
      </c>
      <c r="CR332" s="17"/>
      <c r="DE332"/>
    </row>
    <row r="333" spans="81:109" x14ac:dyDescent="0.25">
      <c r="CC333" s="7" t="e">
        <f>IF(#REF!="","",IF(#REF!="PF",#REF!,0))</f>
        <v>#REF!</v>
      </c>
      <c r="CD333" s="7" t="e">
        <f>IF(#REF!="","",IF(#REF!="PF",IF((#REF!+4)&lt;YEAR(#REF!),0,#REF!),0))</f>
        <v>#REF!</v>
      </c>
      <c r="CE333" s="7" t="e">
        <f>IF(#REF!="","",IF(AND(CD333&gt;0,#REF!&lt;&gt;""),CC333,0))</f>
        <v>#REF!</v>
      </c>
      <c r="CF333" s="7" t="e">
        <f>IF(#REF!="","",IF(AND($CE333&gt;0,#REF!= "GRENACHE N"),#REF!,0))</f>
        <v>#REF!</v>
      </c>
      <c r="CG333" s="7" t="e">
        <f>IF(#REF!="","",IF(AND($CE333&gt;0,#REF!="SYRAH N"),#REF!,0))</f>
        <v>#REF!</v>
      </c>
      <c r="CH333" s="7" t="e">
        <f>IF(#REF!="","",IF(AND($CE333&gt;0,#REF!="CINSAUT N"),#REF!,0))</f>
        <v>#REF!</v>
      </c>
      <c r="CI333" s="7" t="e">
        <f>IF(#REF!="","",IF(AND($CE333&gt;0,#REF!="TIBOUREN N"),#REF!,0))</f>
        <v>#REF!</v>
      </c>
      <c r="CJ333" s="7" t="e">
        <f>IF(#REF!="","",IF(AND($CE333&gt;0,#REF!="MOURVEDRE N"),#REF!,0))</f>
        <v>#REF!</v>
      </c>
      <c r="CK333" s="7" t="e">
        <f>IF(#REF!="","",IF(AND($CE333&gt;0,#REF!="CARIGNAN N"),#REF!,0))</f>
        <v>#REF!</v>
      </c>
      <c r="CL333" s="7" t="e">
        <f>IF(#REF!="","",IF(AND($CE333&gt;0,#REF!="CABERNET SAUVIGNON N"),#REF!,0))</f>
        <v>#REF!</v>
      </c>
      <c r="CM333" s="7" t="e">
        <f>IF(#REF!="","",IF(AND($CE333&gt;0,#REF!="VERMENTINO B"),#REF!,0))</f>
        <v>#REF!</v>
      </c>
      <c r="CN333" s="7" t="e">
        <f>IF(#REF!="","",IF(AND($CE333&gt;0,#REF!="UGNI BLANC B"),#REF!,0))</f>
        <v>#REF!</v>
      </c>
      <c r="CO333" s="7" t="e">
        <f>IF(#REF!="","",IF(AND($CE333&gt;0,#REF!="CLAIRETTE B"),#REF!,0))</f>
        <v>#REF!</v>
      </c>
      <c r="CP333" s="7" t="e">
        <f>IF(#REF!="","",IF(AND($CE333&gt;0,#REF!="semillon B"),#REF!,0))</f>
        <v>#REF!</v>
      </c>
      <c r="CQ333" s="7" t="e">
        <f>IF(#REF!="","",IF(CE333=0,CC333,0))</f>
        <v>#REF!</v>
      </c>
      <c r="CR333" s="17"/>
      <c r="DE333"/>
    </row>
    <row r="334" spans="81:109" x14ac:dyDescent="0.25">
      <c r="CC334" s="7" t="e">
        <f>IF(#REF!="","",IF(#REF!="PF",#REF!,0))</f>
        <v>#REF!</v>
      </c>
      <c r="CD334" s="7" t="e">
        <f>IF(#REF!="","",IF(#REF!="PF",IF((#REF!+4)&lt;YEAR(#REF!),0,#REF!),0))</f>
        <v>#REF!</v>
      </c>
      <c r="CE334" s="7" t="e">
        <f>IF(#REF!="","",IF(AND(CD334&gt;0,#REF!&lt;&gt;""),CC334,0))</f>
        <v>#REF!</v>
      </c>
      <c r="CF334" s="7" t="e">
        <f>IF(#REF!="","",IF(AND($CE334&gt;0,#REF!= "GRENACHE N"),#REF!,0))</f>
        <v>#REF!</v>
      </c>
      <c r="CG334" s="7" t="e">
        <f>IF(#REF!="","",IF(AND($CE334&gt;0,#REF!="SYRAH N"),#REF!,0))</f>
        <v>#REF!</v>
      </c>
      <c r="CH334" s="7" t="e">
        <f>IF(#REF!="","",IF(AND($CE334&gt;0,#REF!="CINSAUT N"),#REF!,0))</f>
        <v>#REF!</v>
      </c>
      <c r="CI334" s="7" t="e">
        <f>IF(#REF!="","",IF(AND($CE334&gt;0,#REF!="TIBOUREN N"),#REF!,0))</f>
        <v>#REF!</v>
      </c>
      <c r="CJ334" s="7" t="e">
        <f>IF(#REF!="","",IF(AND($CE334&gt;0,#REF!="MOURVEDRE N"),#REF!,0))</f>
        <v>#REF!</v>
      </c>
      <c r="CK334" s="7" t="e">
        <f>IF(#REF!="","",IF(AND($CE334&gt;0,#REF!="CARIGNAN N"),#REF!,0))</f>
        <v>#REF!</v>
      </c>
      <c r="CL334" s="7" t="e">
        <f>IF(#REF!="","",IF(AND($CE334&gt;0,#REF!="CABERNET SAUVIGNON N"),#REF!,0))</f>
        <v>#REF!</v>
      </c>
      <c r="CM334" s="7" t="e">
        <f>IF(#REF!="","",IF(AND($CE334&gt;0,#REF!="VERMENTINO B"),#REF!,0))</f>
        <v>#REF!</v>
      </c>
      <c r="CN334" s="7" t="e">
        <f>IF(#REF!="","",IF(AND($CE334&gt;0,#REF!="UGNI BLANC B"),#REF!,0))</f>
        <v>#REF!</v>
      </c>
      <c r="CO334" s="7" t="e">
        <f>IF(#REF!="","",IF(AND($CE334&gt;0,#REF!="CLAIRETTE B"),#REF!,0))</f>
        <v>#REF!</v>
      </c>
      <c r="CP334" s="7" t="e">
        <f>IF(#REF!="","",IF(AND($CE334&gt;0,#REF!="semillon B"),#REF!,0))</f>
        <v>#REF!</v>
      </c>
      <c r="CQ334" s="7" t="e">
        <f>IF(#REF!="","",IF(CE334=0,CC334,0))</f>
        <v>#REF!</v>
      </c>
      <c r="CR334" s="17"/>
      <c r="DE334"/>
    </row>
    <row r="335" spans="81:109" x14ac:dyDescent="0.25">
      <c r="CC335" s="7" t="e">
        <f>IF(#REF!="","",IF(#REF!="PF",#REF!,0))</f>
        <v>#REF!</v>
      </c>
      <c r="CD335" s="7" t="e">
        <f>IF(#REF!="","",IF(#REF!="PF",IF((#REF!+4)&lt;YEAR(#REF!),0,#REF!),0))</f>
        <v>#REF!</v>
      </c>
      <c r="CE335" s="7" t="e">
        <f>IF(#REF!="","",IF(AND(CD335&gt;0,#REF!&lt;&gt;""),CC335,0))</f>
        <v>#REF!</v>
      </c>
      <c r="CF335" s="7" t="e">
        <f>IF(#REF!="","",IF(AND($CE335&gt;0,#REF!= "GRENACHE N"),#REF!,0))</f>
        <v>#REF!</v>
      </c>
      <c r="CG335" s="7" t="e">
        <f>IF(#REF!="","",IF(AND($CE335&gt;0,#REF!="SYRAH N"),#REF!,0))</f>
        <v>#REF!</v>
      </c>
      <c r="CH335" s="7" t="e">
        <f>IF(#REF!="","",IF(AND($CE335&gt;0,#REF!="CINSAUT N"),#REF!,0))</f>
        <v>#REF!</v>
      </c>
      <c r="CI335" s="7" t="e">
        <f>IF(#REF!="","",IF(AND($CE335&gt;0,#REF!="TIBOUREN N"),#REF!,0))</f>
        <v>#REF!</v>
      </c>
      <c r="CJ335" s="7" t="e">
        <f>IF(#REF!="","",IF(AND($CE335&gt;0,#REF!="MOURVEDRE N"),#REF!,0))</f>
        <v>#REF!</v>
      </c>
      <c r="CK335" s="7" t="e">
        <f>IF(#REF!="","",IF(AND($CE335&gt;0,#REF!="CARIGNAN N"),#REF!,0))</f>
        <v>#REF!</v>
      </c>
      <c r="CL335" s="7" t="e">
        <f>IF(#REF!="","",IF(AND($CE335&gt;0,#REF!="CABERNET SAUVIGNON N"),#REF!,0))</f>
        <v>#REF!</v>
      </c>
      <c r="CM335" s="7" t="e">
        <f>IF(#REF!="","",IF(AND($CE335&gt;0,#REF!="VERMENTINO B"),#REF!,0))</f>
        <v>#REF!</v>
      </c>
      <c r="CN335" s="7" t="e">
        <f>IF(#REF!="","",IF(AND($CE335&gt;0,#REF!="UGNI BLANC B"),#REF!,0))</f>
        <v>#REF!</v>
      </c>
      <c r="CO335" s="7" t="e">
        <f>IF(#REF!="","",IF(AND($CE335&gt;0,#REF!="CLAIRETTE B"),#REF!,0))</f>
        <v>#REF!</v>
      </c>
      <c r="CP335" s="7" t="e">
        <f>IF(#REF!="","",IF(AND($CE335&gt;0,#REF!="semillon B"),#REF!,0))</f>
        <v>#REF!</v>
      </c>
      <c r="CQ335" s="7" t="e">
        <f>IF(#REF!="","",IF(CE335=0,CC335,0))</f>
        <v>#REF!</v>
      </c>
      <c r="CR335" s="17"/>
      <c r="DE335"/>
    </row>
    <row r="336" spans="81:109" x14ac:dyDescent="0.25">
      <c r="CC336" s="7" t="e">
        <f>IF(#REF!="","",IF(#REF!="PF",#REF!,0))</f>
        <v>#REF!</v>
      </c>
      <c r="CD336" s="7" t="e">
        <f>IF(#REF!="","",IF(#REF!="PF",IF((#REF!+4)&lt;YEAR(#REF!),0,#REF!),0))</f>
        <v>#REF!</v>
      </c>
      <c r="CE336" s="7" t="e">
        <f>IF(#REF!="","",IF(AND(CD336&gt;0,#REF!&lt;&gt;""),CC336,0))</f>
        <v>#REF!</v>
      </c>
      <c r="CF336" s="7" t="e">
        <f>IF(#REF!="","",IF(AND($CE336&gt;0,#REF!= "GRENACHE N"),#REF!,0))</f>
        <v>#REF!</v>
      </c>
      <c r="CG336" s="7" t="e">
        <f>IF(#REF!="","",IF(AND($CE336&gt;0,#REF!="SYRAH N"),#REF!,0))</f>
        <v>#REF!</v>
      </c>
      <c r="CH336" s="7" t="e">
        <f>IF(#REF!="","",IF(AND($CE336&gt;0,#REF!="CINSAUT N"),#REF!,0))</f>
        <v>#REF!</v>
      </c>
      <c r="CI336" s="7" t="e">
        <f>IF(#REF!="","",IF(AND($CE336&gt;0,#REF!="TIBOUREN N"),#REF!,0))</f>
        <v>#REF!</v>
      </c>
      <c r="CJ336" s="7" t="e">
        <f>IF(#REF!="","",IF(AND($CE336&gt;0,#REF!="MOURVEDRE N"),#REF!,0))</f>
        <v>#REF!</v>
      </c>
      <c r="CK336" s="7" t="e">
        <f>IF(#REF!="","",IF(AND($CE336&gt;0,#REF!="CARIGNAN N"),#REF!,0))</f>
        <v>#REF!</v>
      </c>
      <c r="CL336" s="7" t="e">
        <f>IF(#REF!="","",IF(AND($CE336&gt;0,#REF!="CABERNET SAUVIGNON N"),#REF!,0))</f>
        <v>#REF!</v>
      </c>
      <c r="CM336" s="7" t="e">
        <f>IF(#REF!="","",IF(AND($CE336&gt;0,#REF!="VERMENTINO B"),#REF!,0))</f>
        <v>#REF!</v>
      </c>
      <c r="CN336" s="7" t="e">
        <f>IF(#REF!="","",IF(AND($CE336&gt;0,#REF!="UGNI BLANC B"),#REF!,0))</f>
        <v>#REF!</v>
      </c>
      <c r="CO336" s="7" t="e">
        <f>IF(#REF!="","",IF(AND($CE336&gt;0,#REF!="CLAIRETTE B"),#REF!,0))</f>
        <v>#REF!</v>
      </c>
      <c r="CP336" s="7" t="e">
        <f>IF(#REF!="","",IF(AND($CE336&gt;0,#REF!="semillon B"),#REF!,0))</f>
        <v>#REF!</v>
      </c>
      <c r="CQ336" s="7" t="e">
        <f>IF(#REF!="","",IF(CE336=0,CC336,0))</f>
        <v>#REF!</v>
      </c>
      <c r="CR336" s="17"/>
      <c r="DE336"/>
    </row>
    <row r="337" spans="81:109" x14ac:dyDescent="0.25">
      <c r="CC337" s="7" t="e">
        <f>IF(#REF!="","",IF(#REF!="PF",#REF!,0))</f>
        <v>#REF!</v>
      </c>
      <c r="CD337" s="7" t="e">
        <f>IF(#REF!="","",IF(#REF!="PF",IF((#REF!+4)&lt;YEAR(#REF!),0,#REF!),0))</f>
        <v>#REF!</v>
      </c>
      <c r="CE337" s="7" t="e">
        <f>IF(#REF!="","",IF(AND(CD337&gt;0,#REF!&lt;&gt;""),CC337,0))</f>
        <v>#REF!</v>
      </c>
      <c r="CF337" s="7" t="e">
        <f>IF(#REF!="","",IF(AND($CE337&gt;0,#REF!= "GRENACHE N"),#REF!,0))</f>
        <v>#REF!</v>
      </c>
      <c r="CG337" s="7" t="e">
        <f>IF(#REF!="","",IF(AND($CE337&gt;0,#REF!="SYRAH N"),#REF!,0))</f>
        <v>#REF!</v>
      </c>
      <c r="CH337" s="7" t="e">
        <f>IF(#REF!="","",IF(AND($CE337&gt;0,#REF!="CINSAUT N"),#REF!,0))</f>
        <v>#REF!</v>
      </c>
      <c r="CI337" s="7" t="e">
        <f>IF(#REF!="","",IF(AND($CE337&gt;0,#REF!="TIBOUREN N"),#REF!,0))</f>
        <v>#REF!</v>
      </c>
      <c r="CJ337" s="7" t="e">
        <f>IF(#REF!="","",IF(AND($CE337&gt;0,#REF!="MOURVEDRE N"),#REF!,0))</f>
        <v>#REF!</v>
      </c>
      <c r="CK337" s="7" t="e">
        <f>IF(#REF!="","",IF(AND($CE337&gt;0,#REF!="CARIGNAN N"),#REF!,0))</f>
        <v>#REF!</v>
      </c>
      <c r="CL337" s="7" t="e">
        <f>IF(#REF!="","",IF(AND($CE337&gt;0,#REF!="CABERNET SAUVIGNON N"),#REF!,0))</f>
        <v>#REF!</v>
      </c>
      <c r="CM337" s="7" t="e">
        <f>IF(#REF!="","",IF(AND($CE337&gt;0,#REF!="VERMENTINO B"),#REF!,0))</f>
        <v>#REF!</v>
      </c>
      <c r="CN337" s="7" t="e">
        <f>IF(#REF!="","",IF(AND($CE337&gt;0,#REF!="UGNI BLANC B"),#REF!,0))</f>
        <v>#REF!</v>
      </c>
      <c r="CO337" s="7" t="e">
        <f>IF(#REF!="","",IF(AND($CE337&gt;0,#REF!="CLAIRETTE B"),#REF!,0))</f>
        <v>#REF!</v>
      </c>
      <c r="CP337" s="7" t="e">
        <f>IF(#REF!="","",IF(AND($CE337&gt;0,#REF!="semillon B"),#REF!,0))</f>
        <v>#REF!</v>
      </c>
      <c r="CQ337" s="7" t="e">
        <f>IF(#REF!="","",IF(CE337=0,CC337,0))</f>
        <v>#REF!</v>
      </c>
      <c r="CR337" s="17"/>
      <c r="DE337"/>
    </row>
    <row r="338" spans="81:109" x14ac:dyDescent="0.25">
      <c r="CC338" s="7" t="e">
        <f>IF(#REF!="","",IF(#REF!="PF",#REF!,0))</f>
        <v>#REF!</v>
      </c>
      <c r="CD338" s="7" t="e">
        <f>IF(#REF!="","",IF(#REF!="PF",IF((#REF!+4)&lt;YEAR(#REF!),0,#REF!),0))</f>
        <v>#REF!</v>
      </c>
      <c r="CE338" s="7" t="e">
        <f>IF(#REF!="","",IF(AND(CD338&gt;0,#REF!&lt;&gt;""),CC338,0))</f>
        <v>#REF!</v>
      </c>
      <c r="CF338" s="7" t="e">
        <f>IF(#REF!="","",IF(AND($CE338&gt;0,#REF!= "GRENACHE N"),#REF!,0))</f>
        <v>#REF!</v>
      </c>
      <c r="CG338" s="7" t="e">
        <f>IF(#REF!="","",IF(AND($CE338&gt;0,#REF!="SYRAH N"),#REF!,0))</f>
        <v>#REF!</v>
      </c>
      <c r="CH338" s="7" t="e">
        <f>IF(#REF!="","",IF(AND($CE338&gt;0,#REF!="CINSAUT N"),#REF!,0))</f>
        <v>#REF!</v>
      </c>
      <c r="CI338" s="7" t="e">
        <f>IF(#REF!="","",IF(AND($CE338&gt;0,#REF!="TIBOUREN N"),#REF!,0))</f>
        <v>#REF!</v>
      </c>
      <c r="CJ338" s="7" t="e">
        <f>IF(#REF!="","",IF(AND($CE338&gt;0,#REF!="MOURVEDRE N"),#REF!,0))</f>
        <v>#REF!</v>
      </c>
      <c r="CK338" s="7" t="e">
        <f>IF(#REF!="","",IF(AND($CE338&gt;0,#REF!="CARIGNAN N"),#REF!,0))</f>
        <v>#REF!</v>
      </c>
      <c r="CL338" s="7" t="e">
        <f>IF(#REF!="","",IF(AND($CE338&gt;0,#REF!="CABERNET SAUVIGNON N"),#REF!,0))</f>
        <v>#REF!</v>
      </c>
      <c r="CM338" s="7" t="e">
        <f>IF(#REF!="","",IF(AND($CE338&gt;0,#REF!="VERMENTINO B"),#REF!,0))</f>
        <v>#REF!</v>
      </c>
      <c r="CN338" s="7" t="e">
        <f>IF(#REF!="","",IF(AND($CE338&gt;0,#REF!="UGNI BLANC B"),#REF!,0))</f>
        <v>#REF!</v>
      </c>
      <c r="CO338" s="7" t="e">
        <f>IF(#REF!="","",IF(AND($CE338&gt;0,#REF!="CLAIRETTE B"),#REF!,0))</f>
        <v>#REF!</v>
      </c>
      <c r="CP338" s="7" t="e">
        <f>IF(#REF!="","",IF(AND($CE338&gt;0,#REF!="semillon B"),#REF!,0))</f>
        <v>#REF!</v>
      </c>
      <c r="CQ338" s="7" t="e">
        <f>IF(#REF!="","",IF(CE338=0,CC338,0))</f>
        <v>#REF!</v>
      </c>
      <c r="CR338" s="17"/>
      <c r="DE338"/>
    </row>
    <row r="339" spans="81:109" x14ac:dyDescent="0.25">
      <c r="CC339" s="7" t="e">
        <f>IF(#REF!="","",IF(#REF!="PF",#REF!,0))</f>
        <v>#REF!</v>
      </c>
      <c r="CD339" s="7" t="e">
        <f>IF(#REF!="","",IF(#REF!="PF",IF((#REF!+4)&lt;YEAR(#REF!),0,#REF!),0))</f>
        <v>#REF!</v>
      </c>
      <c r="CE339" s="7" t="e">
        <f>IF(#REF!="","",IF(AND(CD339&gt;0,#REF!&lt;&gt;""),CC339,0))</f>
        <v>#REF!</v>
      </c>
      <c r="CF339" s="7" t="e">
        <f>IF(#REF!="","",IF(AND($CE339&gt;0,#REF!= "GRENACHE N"),#REF!,0))</f>
        <v>#REF!</v>
      </c>
      <c r="CG339" s="7" t="e">
        <f>IF(#REF!="","",IF(AND($CE339&gt;0,#REF!="SYRAH N"),#REF!,0))</f>
        <v>#REF!</v>
      </c>
      <c r="CH339" s="7" t="e">
        <f>IF(#REF!="","",IF(AND($CE339&gt;0,#REF!="CINSAUT N"),#REF!,0))</f>
        <v>#REF!</v>
      </c>
      <c r="CI339" s="7" t="e">
        <f>IF(#REF!="","",IF(AND($CE339&gt;0,#REF!="TIBOUREN N"),#REF!,0))</f>
        <v>#REF!</v>
      </c>
      <c r="CJ339" s="7" t="e">
        <f>IF(#REF!="","",IF(AND($CE339&gt;0,#REF!="MOURVEDRE N"),#REF!,0))</f>
        <v>#REF!</v>
      </c>
      <c r="CK339" s="7" t="e">
        <f>IF(#REF!="","",IF(AND($CE339&gt;0,#REF!="CARIGNAN N"),#REF!,0))</f>
        <v>#REF!</v>
      </c>
      <c r="CL339" s="7" t="e">
        <f>IF(#REF!="","",IF(AND($CE339&gt;0,#REF!="CABERNET SAUVIGNON N"),#REF!,0))</f>
        <v>#REF!</v>
      </c>
      <c r="CM339" s="7" t="e">
        <f>IF(#REF!="","",IF(AND($CE339&gt;0,#REF!="VERMENTINO B"),#REF!,0))</f>
        <v>#REF!</v>
      </c>
      <c r="CN339" s="7" t="e">
        <f>IF(#REF!="","",IF(AND($CE339&gt;0,#REF!="UGNI BLANC B"),#REF!,0))</f>
        <v>#REF!</v>
      </c>
      <c r="CO339" s="7" t="e">
        <f>IF(#REF!="","",IF(AND($CE339&gt;0,#REF!="CLAIRETTE B"),#REF!,0))</f>
        <v>#REF!</v>
      </c>
      <c r="CP339" s="7" t="e">
        <f>IF(#REF!="","",IF(AND($CE339&gt;0,#REF!="semillon B"),#REF!,0))</f>
        <v>#REF!</v>
      </c>
      <c r="CQ339" s="7" t="e">
        <f>IF(#REF!="","",IF(CE339=0,CC339,0))</f>
        <v>#REF!</v>
      </c>
      <c r="CR339" s="17"/>
      <c r="DE339"/>
    </row>
    <row r="340" spans="81:109" x14ac:dyDescent="0.25">
      <c r="CC340" s="7" t="e">
        <f>IF(#REF!="","",IF(#REF!="PF",#REF!,0))</f>
        <v>#REF!</v>
      </c>
      <c r="CD340" s="7" t="e">
        <f>IF(#REF!="","",IF(#REF!="PF",IF((#REF!+4)&lt;YEAR(#REF!),0,#REF!),0))</f>
        <v>#REF!</v>
      </c>
      <c r="CE340" s="7" t="e">
        <f>IF(#REF!="","",IF(AND(CD340&gt;0,#REF!&lt;&gt;""),CC340,0))</f>
        <v>#REF!</v>
      </c>
      <c r="CF340" s="7" t="e">
        <f>IF(#REF!="","",IF(AND($CE340&gt;0,#REF!= "GRENACHE N"),#REF!,0))</f>
        <v>#REF!</v>
      </c>
      <c r="CG340" s="7" t="e">
        <f>IF(#REF!="","",IF(AND($CE340&gt;0,#REF!="SYRAH N"),#REF!,0))</f>
        <v>#REF!</v>
      </c>
      <c r="CH340" s="7" t="e">
        <f>IF(#REF!="","",IF(AND($CE340&gt;0,#REF!="CINSAUT N"),#REF!,0))</f>
        <v>#REF!</v>
      </c>
      <c r="CI340" s="7" t="e">
        <f>IF(#REF!="","",IF(AND($CE340&gt;0,#REF!="TIBOUREN N"),#REF!,0))</f>
        <v>#REF!</v>
      </c>
      <c r="CJ340" s="7" t="e">
        <f>IF(#REF!="","",IF(AND($CE340&gt;0,#REF!="MOURVEDRE N"),#REF!,0))</f>
        <v>#REF!</v>
      </c>
      <c r="CK340" s="7" t="e">
        <f>IF(#REF!="","",IF(AND($CE340&gt;0,#REF!="CARIGNAN N"),#REF!,0))</f>
        <v>#REF!</v>
      </c>
      <c r="CL340" s="7" t="e">
        <f>IF(#REF!="","",IF(AND($CE340&gt;0,#REF!="CABERNET SAUVIGNON N"),#REF!,0))</f>
        <v>#REF!</v>
      </c>
      <c r="CM340" s="7" t="e">
        <f>IF(#REF!="","",IF(AND($CE340&gt;0,#REF!="VERMENTINO B"),#REF!,0))</f>
        <v>#REF!</v>
      </c>
      <c r="CN340" s="7" t="e">
        <f>IF(#REF!="","",IF(AND($CE340&gt;0,#REF!="UGNI BLANC B"),#REF!,0))</f>
        <v>#REF!</v>
      </c>
      <c r="CO340" s="7" t="e">
        <f>IF(#REF!="","",IF(AND($CE340&gt;0,#REF!="CLAIRETTE B"),#REF!,0))</f>
        <v>#REF!</v>
      </c>
      <c r="CP340" s="7" t="e">
        <f>IF(#REF!="","",IF(AND($CE340&gt;0,#REF!="semillon B"),#REF!,0))</f>
        <v>#REF!</v>
      </c>
      <c r="CQ340" s="7" t="e">
        <f>IF(#REF!="","",IF(CE340=0,CC340,0))</f>
        <v>#REF!</v>
      </c>
      <c r="CR340" s="17"/>
      <c r="DE340"/>
    </row>
    <row r="341" spans="81:109" x14ac:dyDescent="0.25">
      <c r="CC341" s="7" t="e">
        <f>IF(#REF!="","",IF(#REF!="PF",#REF!,0))</f>
        <v>#REF!</v>
      </c>
      <c r="CD341" s="7" t="e">
        <f>IF(#REF!="","",IF(#REF!="PF",IF((#REF!+4)&lt;YEAR(#REF!),0,#REF!),0))</f>
        <v>#REF!</v>
      </c>
      <c r="CE341" s="7" t="e">
        <f>IF(#REF!="","",IF(AND(CD341&gt;0,#REF!&lt;&gt;""),CC341,0))</f>
        <v>#REF!</v>
      </c>
      <c r="CF341" s="7" t="e">
        <f>IF(#REF!="","",IF(AND($CE341&gt;0,#REF!= "GRENACHE N"),#REF!,0))</f>
        <v>#REF!</v>
      </c>
      <c r="CG341" s="7" t="e">
        <f>IF(#REF!="","",IF(AND($CE341&gt;0,#REF!="SYRAH N"),#REF!,0))</f>
        <v>#REF!</v>
      </c>
      <c r="CH341" s="7" t="e">
        <f>IF(#REF!="","",IF(AND($CE341&gt;0,#REF!="CINSAUT N"),#REF!,0))</f>
        <v>#REF!</v>
      </c>
      <c r="CI341" s="7" t="e">
        <f>IF(#REF!="","",IF(AND($CE341&gt;0,#REF!="TIBOUREN N"),#REF!,0))</f>
        <v>#REF!</v>
      </c>
      <c r="CJ341" s="7" t="e">
        <f>IF(#REF!="","",IF(AND($CE341&gt;0,#REF!="MOURVEDRE N"),#REF!,0))</f>
        <v>#REF!</v>
      </c>
      <c r="CK341" s="7" t="e">
        <f>IF(#REF!="","",IF(AND($CE341&gt;0,#REF!="CARIGNAN N"),#REF!,0))</f>
        <v>#REF!</v>
      </c>
      <c r="CL341" s="7" t="e">
        <f>IF(#REF!="","",IF(AND($CE341&gt;0,#REF!="CABERNET SAUVIGNON N"),#REF!,0))</f>
        <v>#REF!</v>
      </c>
      <c r="CM341" s="7" t="e">
        <f>IF(#REF!="","",IF(AND($CE341&gt;0,#REF!="VERMENTINO B"),#REF!,0))</f>
        <v>#REF!</v>
      </c>
      <c r="CN341" s="7" t="e">
        <f>IF(#REF!="","",IF(AND($CE341&gt;0,#REF!="UGNI BLANC B"),#REF!,0))</f>
        <v>#REF!</v>
      </c>
      <c r="CO341" s="7" t="e">
        <f>IF(#REF!="","",IF(AND($CE341&gt;0,#REF!="CLAIRETTE B"),#REF!,0))</f>
        <v>#REF!</v>
      </c>
      <c r="CP341" s="7" t="e">
        <f>IF(#REF!="","",IF(AND($CE341&gt;0,#REF!="semillon B"),#REF!,0))</f>
        <v>#REF!</v>
      </c>
      <c r="CQ341" s="7" t="e">
        <f>IF(#REF!="","",IF(CE341=0,CC341,0))</f>
        <v>#REF!</v>
      </c>
      <c r="CR341" s="17"/>
      <c r="DE341"/>
    </row>
    <row r="342" spans="81:109" x14ac:dyDescent="0.25">
      <c r="CC342" s="7" t="e">
        <f>IF(#REF!="","",IF(#REF!="PF",#REF!,0))</f>
        <v>#REF!</v>
      </c>
      <c r="CD342" s="7" t="e">
        <f>IF(#REF!="","",IF(#REF!="PF",IF((#REF!+4)&lt;YEAR(#REF!),0,#REF!),0))</f>
        <v>#REF!</v>
      </c>
      <c r="CE342" s="7" t="e">
        <f>IF(#REF!="","",IF(AND(CD342&gt;0,#REF!&lt;&gt;""),CC342,0))</f>
        <v>#REF!</v>
      </c>
      <c r="CF342" s="7" t="e">
        <f>IF(#REF!="","",IF(AND($CE342&gt;0,#REF!= "GRENACHE N"),#REF!,0))</f>
        <v>#REF!</v>
      </c>
      <c r="CG342" s="7" t="e">
        <f>IF(#REF!="","",IF(AND($CE342&gt;0,#REF!="SYRAH N"),#REF!,0))</f>
        <v>#REF!</v>
      </c>
      <c r="CH342" s="7" t="e">
        <f>IF(#REF!="","",IF(AND($CE342&gt;0,#REF!="CINSAUT N"),#REF!,0))</f>
        <v>#REF!</v>
      </c>
      <c r="CI342" s="7" t="e">
        <f>IF(#REF!="","",IF(AND($CE342&gt;0,#REF!="TIBOUREN N"),#REF!,0))</f>
        <v>#REF!</v>
      </c>
      <c r="CJ342" s="7" t="e">
        <f>IF(#REF!="","",IF(AND($CE342&gt;0,#REF!="MOURVEDRE N"),#REF!,0))</f>
        <v>#REF!</v>
      </c>
      <c r="CK342" s="7" t="e">
        <f>IF(#REF!="","",IF(AND($CE342&gt;0,#REF!="CARIGNAN N"),#REF!,0))</f>
        <v>#REF!</v>
      </c>
      <c r="CL342" s="7" t="e">
        <f>IF(#REF!="","",IF(AND($CE342&gt;0,#REF!="CABERNET SAUVIGNON N"),#REF!,0))</f>
        <v>#REF!</v>
      </c>
      <c r="CM342" s="7" t="e">
        <f>IF(#REF!="","",IF(AND($CE342&gt;0,#REF!="VERMENTINO B"),#REF!,0))</f>
        <v>#REF!</v>
      </c>
      <c r="CN342" s="7" t="e">
        <f>IF(#REF!="","",IF(AND($CE342&gt;0,#REF!="UGNI BLANC B"),#REF!,0))</f>
        <v>#REF!</v>
      </c>
      <c r="CO342" s="7" t="e">
        <f>IF(#REF!="","",IF(AND($CE342&gt;0,#REF!="CLAIRETTE B"),#REF!,0))</f>
        <v>#REF!</v>
      </c>
      <c r="CP342" s="7" t="e">
        <f>IF(#REF!="","",IF(AND($CE342&gt;0,#REF!="semillon B"),#REF!,0))</f>
        <v>#REF!</v>
      </c>
      <c r="CQ342" s="7" t="e">
        <f>IF(#REF!="","",IF(CE342=0,CC342,0))</f>
        <v>#REF!</v>
      </c>
      <c r="CR342" s="17"/>
      <c r="DE342"/>
    </row>
    <row r="343" spans="81:109" x14ac:dyDescent="0.25">
      <c r="CC343" s="7" t="e">
        <f>IF(#REF!="","",IF(#REF!="PF",#REF!,0))</f>
        <v>#REF!</v>
      </c>
      <c r="CD343" s="7" t="e">
        <f>IF(#REF!="","",IF(#REF!="PF",IF((#REF!+4)&lt;YEAR(#REF!),0,#REF!),0))</f>
        <v>#REF!</v>
      </c>
      <c r="CE343" s="7" t="e">
        <f>IF(#REF!="","",IF(AND(CD343&gt;0,#REF!&lt;&gt;""),CC343,0))</f>
        <v>#REF!</v>
      </c>
      <c r="CF343" s="7" t="e">
        <f>IF(#REF!="","",IF(AND($CE343&gt;0,#REF!= "GRENACHE N"),#REF!,0))</f>
        <v>#REF!</v>
      </c>
      <c r="CG343" s="7" t="e">
        <f>IF(#REF!="","",IF(AND($CE343&gt;0,#REF!="SYRAH N"),#REF!,0))</f>
        <v>#REF!</v>
      </c>
      <c r="CH343" s="7" t="e">
        <f>IF(#REF!="","",IF(AND($CE343&gt;0,#REF!="CINSAUT N"),#REF!,0))</f>
        <v>#REF!</v>
      </c>
      <c r="CI343" s="7" t="e">
        <f>IF(#REF!="","",IF(AND($CE343&gt;0,#REF!="TIBOUREN N"),#REF!,0))</f>
        <v>#REF!</v>
      </c>
      <c r="CJ343" s="7" t="e">
        <f>IF(#REF!="","",IF(AND($CE343&gt;0,#REF!="MOURVEDRE N"),#REF!,0))</f>
        <v>#REF!</v>
      </c>
      <c r="CK343" s="7" t="e">
        <f>IF(#REF!="","",IF(AND($CE343&gt;0,#REF!="CARIGNAN N"),#REF!,0))</f>
        <v>#REF!</v>
      </c>
      <c r="CL343" s="7" t="e">
        <f>IF(#REF!="","",IF(AND($CE343&gt;0,#REF!="CABERNET SAUVIGNON N"),#REF!,0))</f>
        <v>#REF!</v>
      </c>
      <c r="CM343" s="7" t="e">
        <f>IF(#REF!="","",IF(AND($CE343&gt;0,#REF!="VERMENTINO B"),#REF!,0))</f>
        <v>#REF!</v>
      </c>
      <c r="CN343" s="7" t="e">
        <f>IF(#REF!="","",IF(AND($CE343&gt;0,#REF!="UGNI BLANC B"),#REF!,0))</f>
        <v>#REF!</v>
      </c>
      <c r="CO343" s="7" t="e">
        <f>IF(#REF!="","",IF(AND($CE343&gt;0,#REF!="CLAIRETTE B"),#REF!,0))</f>
        <v>#REF!</v>
      </c>
      <c r="CP343" s="7" t="e">
        <f>IF(#REF!="","",IF(AND($CE343&gt;0,#REF!="semillon B"),#REF!,0))</f>
        <v>#REF!</v>
      </c>
      <c r="CQ343" s="7" t="e">
        <f>IF(#REF!="","",IF(CE343=0,CC343,0))</f>
        <v>#REF!</v>
      </c>
      <c r="CR343" s="17"/>
      <c r="DE343"/>
    </row>
    <row r="344" spans="81:109" x14ac:dyDescent="0.25">
      <c r="CC344" s="7" t="e">
        <f>IF(#REF!="","",IF(#REF!="PF",#REF!,0))</f>
        <v>#REF!</v>
      </c>
      <c r="CD344" s="7" t="e">
        <f>IF(#REF!="","",IF(#REF!="PF",IF((#REF!+4)&lt;YEAR(#REF!),0,#REF!),0))</f>
        <v>#REF!</v>
      </c>
      <c r="CE344" s="7" t="e">
        <f>IF(#REF!="","",IF(AND(CD344&gt;0,#REF!&lt;&gt;""),CC344,0))</f>
        <v>#REF!</v>
      </c>
      <c r="CF344" s="7" t="e">
        <f>IF(#REF!="","",IF(AND($CE344&gt;0,#REF!= "GRENACHE N"),#REF!,0))</f>
        <v>#REF!</v>
      </c>
      <c r="CG344" s="7" t="e">
        <f>IF(#REF!="","",IF(AND($CE344&gt;0,#REF!="SYRAH N"),#REF!,0))</f>
        <v>#REF!</v>
      </c>
      <c r="CH344" s="7" t="e">
        <f>IF(#REF!="","",IF(AND($CE344&gt;0,#REF!="CINSAUT N"),#REF!,0))</f>
        <v>#REF!</v>
      </c>
      <c r="CI344" s="7" t="e">
        <f>IF(#REF!="","",IF(AND($CE344&gt;0,#REF!="TIBOUREN N"),#REF!,0))</f>
        <v>#REF!</v>
      </c>
      <c r="CJ344" s="7" t="e">
        <f>IF(#REF!="","",IF(AND($CE344&gt;0,#REF!="MOURVEDRE N"),#REF!,0))</f>
        <v>#REF!</v>
      </c>
      <c r="CK344" s="7" t="e">
        <f>IF(#REF!="","",IF(AND($CE344&gt;0,#REF!="CARIGNAN N"),#REF!,0))</f>
        <v>#REF!</v>
      </c>
      <c r="CL344" s="7" t="e">
        <f>IF(#REF!="","",IF(AND($CE344&gt;0,#REF!="CABERNET SAUVIGNON N"),#REF!,0))</f>
        <v>#REF!</v>
      </c>
      <c r="CM344" s="7" t="e">
        <f>IF(#REF!="","",IF(AND($CE344&gt;0,#REF!="VERMENTINO B"),#REF!,0))</f>
        <v>#REF!</v>
      </c>
      <c r="CN344" s="7" t="e">
        <f>IF(#REF!="","",IF(AND($CE344&gt;0,#REF!="UGNI BLANC B"),#REF!,0))</f>
        <v>#REF!</v>
      </c>
      <c r="CO344" s="7" t="e">
        <f>IF(#REF!="","",IF(AND($CE344&gt;0,#REF!="CLAIRETTE B"),#REF!,0))</f>
        <v>#REF!</v>
      </c>
      <c r="CP344" s="7" t="e">
        <f>IF(#REF!="","",IF(AND($CE344&gt;0,#REF!="semillon B"),#REF!,0))</f>
        <v>#REF!</v>
      </c>
      <c r="CQ344" s="7" t="e">
        <f>IF(#REF!="","",IF(CE344=0,CC344,0))</f>
        <v>#REF!</v>
      </c>
      <c r="CR344" s="17"/>
      <c r="DE344"/>
    </row>
    <row r="345" spans="81:109" x14ac:dyDescent="0.25">
      <c r="CC345" s="7" t="e">
        <f>IF(#REF!="","",IF(#REF!="PF",#REF!,0))</f>
        <v>#REF!</v>
      </c>
      <c r="CD345" s="7" t="e">
        <f>IF(#REF!="","",IF(#REF!="PF",IF((#REF!+4)&lt;YEAR(#REF!),0,#REF!),0))</f>
        <v>#REF!</v>
      </c>
      <c r="CE345" s="7" t="e">
        <f>IF(#REF!="","",IF(AND(CD345&gt;0,#REF!&lt;&gt;""),CC345,0))</f>
        <v>#REF!</v>
      </c>
      <c r="CF345" s="7" t="e">
        <f>IF(#REF!="","",IF(AND($CE345&gt;0,#REF!= "GRENACHE N"),#REF!,0))</f>
        <v>#REF!</v>
      </c>
      <c r="CG345" s="7" t="e">
        <f>IF(#REF!="","",IF(AND($CE345&gt;0,#REF!="SYRAH N"),#REF!,0))</f>
        <v>#REF!</v>
      </c>
      <c r="CH345" s="7" t="e">
        <f>IF(#REF!="","",IF(AND($CE345&gt;0,#REF!="CINSAUT N"),#REF!,0))</f>
        <v>#REF!</v>
      </c>
      <c r="CI345" s="7" t="e">
        <f>IF(#REF!="","",IF(AND($CE345&gt;0,#REF!="TIBOUREN N"),#REF!,0))</f>
        <v>#REF!</v>
      </c>
      <c r="CJ345" s="7" t="e">
        <f>IF(#REF!="","",IF(AND($CE345&gt;0,#REF!="MOURVEDRE N"),#REF!,0))</f>
        <v>#REF!</v>
      </c>
      <c r="CK345" s="7" t="e">
        <f>IF(#REF!="","",IF(AND($CE345&gt;0,#REF!="CARIGNAN N"),#REF!,0))</f>
        <v>#REF!</v>
      </c>
      <c r="CL345" s="7" t="e">
        <f>IF(#REF!="","",IF(AND($CE345&gt;0,#REF!="CABERNET SAUVIGNON N"),#REF!,0))</f>
        <v>#REF!</v>
      </c>
      <c r="CM345" s="7" t="e">
        <f>IF(#REF!="","",IF(AND($CE345&gt;0,#REF!="VERMENTINO B"),#REF!,0))</f>
        <v>#REF!</v>
      </c>
      <c r="CN345" s="7" t="e">
        <f>IF(#REF!="","",IF(AND($CE345&gt;0,#REF!="UGNI BLANC B"),#REF!,0))</f>
        <v>#REF!</v>
      </c>
      <c r="CO345" s="7" t="e">
        <f>IF(#REF!="","",IF(AND($CE345&gt;0,#REF!="CLAIRETTE B"),#REF!,0))</f>
        <v>#REF!</v>
      </c>
      <c r="CP345" s="7" t="e">
        <f>IF(#REF!="","",IF(AND($CE345&gt;0,#REF!="semillon B"),#REF!,0))</f>
        <v>#REF!</v>
      </c>
      <c r="CQ345" s="7" t="e">
        <f>IF(#REF!="","",IF(CE345=0,CC345,0))</f>
        <v>#REF!</v>
      </c>
      <c r="CR345" s="17"/>
      <c r="DE345"/>
    </row>
    <row r="346" spans="81:109" x14ac:dyDescent="0.25">
      <c r="CC346" s="7" t="e">
        <f>IF(#REF!="","",IF(#REF!="PF",#REF!,0))</f>
        <v>#REF!</v>
      </c>
      <c r="CD346" s="7" t="e">
        <f>IF(#REF!="","",IF(#REF!="PF",IF((#REF!+4)&lt;YEAR(#REF!),0,#REF!),0))</f>
        <v>#REF!</v>
      </c>
      <c r="CE346" s="7" t="e">
        <f>IF(#REF!="","",IF(AND(CD346&gt;0,#REF!&lt;&gt;""),CC346,0))</f>
        <v>#REF!</v>
      </c>
      <c r="CF346" s="7" t="e">
        <f>IF(#REF!="","",IF(AND($CE346&gt;0,#REF!= "GRENACHE N"),#REF!,0))</f>
        <v>#REF!</v>
      </c>
      <c r="CG346" s="7" t="e">
        <f>IF(#REF!="","",IF(AND($CE346&gt;0,#REF!="SYRAH N"),#REF!,0))</f>
        <v>#REF!</v>
      </c>
      <c r="CH346" s="7" t="e">
        <f>IF(#REF!="","",IF(AND($CE346&gt;0,#REF!="CINSAUT N"),#REF!,0))</f>
        <v>#REF!</v>
      </c>
      <c r="CI346" s="7" t="e">
        <f>IF(#REF!="","",IF(AND($CE346&gt;0,#REF!="TIBOUREN N"),#REF!,0))</f>
        <v>#REF!</v>
      </c>
      <c r="CJ346" s="7" t="e">
        <f>IF(#REF!="","",IF(AND($CE346&gt;0,#REF!="MOURVEDRE N"),#REF!,0))</f>
        <v>#REF!</v>
      </c>
      <c r="CK346" s="7" t="e">
        <f>IF(#REF!="","",IF(AND($CE346&gt;0,#REF!="CARIGNAN N"),#REF!,0))</f>
        <v>#REF!</v>
      </c>
      <c r="CL346" s="7" t="e">
        <f>IF(#REF!="","",IF(AND($CE346&gt;0,#REF!="CABERNET SAUVIGNON N"),#REF!,0))</f>
        <v>#REF!</v>
      </c>
      <c r="CM346" s="7" t="e">
        <f>IF(#REF!="","",IF(AND($CE346&gt;0,#REF!="VERMENTINO B"),#REF!,0))</f>
        <v>#REF!</v>
      </c>
      <c r="CN346" s="7" t="e">
        <f>IF(#REF!="","",IF(AND($CE346&gt;0,#REF!="UGNI BLANC B"),#REF!,0))</f>
        <v>#REF!</v>
      </c>
      <c r="CO346" s="7" t="e">
        <f>IF(#REF!="","",IF(AND($CE346&gt;0,#REF!="CLAIRETTE B"),#REF!,0))</f>
        <v>#REF!</v>
      </c>
      <c r="CP346" s="7" t="e">
        <f>IF(#REF!="","",IF(AND($CE346&gt;0,#REF!="semillon B"),#REF!,0))</f>
        <v>#REF!</v>
      </c>
      <c r="CQ346" s="7" t="e">
        <f>IF(#REF!="","",IF(CE346=0,CC346,0))</f>
        <v>#REF!</v>
      </c>
      <c r="CR346" s="17"/>
      <c r="DE346"/>
    </row>
    <row r="347" spans="81:109" x14ac:dyDescent="0.25">
      <c r="CC347" s="7" t="e">
        <f>IF(#REF!="","",IF(#REF!="PF",#REF!,0))</f>
        <v>#REF!</v>
      </c>
      <c r="CD347" s="7" t="e">
        <f>IF(#REF!="","",IF(#REF!="PF",IF((#REF!+4)&lt;YEAR(#REF!),0,#REF!),0))</f>
        <v>#REF!</v>
      </c>
      <c r="CE347" s="7" t="e">
        <f>IF(#REF!="","",IF(AND(CD347&gt;0,#REF!&lt;&gt;""),CC347,0))</f>
        <v>#REF!</v>
      </c>
      <c r="CF347" s="7" t="e">
        <f>IF(#REF!="","",IF(AND($CE347&gt;0,#REF!= "GRENACHE N"),#REF!,0))</f>
        <v>#REF!</v>
      </c>
      <c r="CG347" s="7" t="e">
        <f>IF(#REF!="","",IF(AND($CE347&gt;0,#REF!="SYRAH N"),#REF!,0))</f>
        <v>#REF!</v>
      </c>
      <c r="CH347" s="7" t="e">
        <f>IF(#REF!="","",IF(AND($CE347&gt;0,#REF!="CINSAUT N"),#REF!,0))</f>
        <v>#REF!</v>
      </c>
      <c r="CI347" s="7" t="e">
        <f>IF(#REF!="","",IF(AND($CE347&gt;0,#REF!="TIBOUREN N"),#REF!,0))</f>
        <v>#REF!</v>
      </c>
      <c r="CJ347" s="7" t="e">
        <f>IF(#REF!="","",IF(AND($CE347&gt;0,#REF!="MOURVEDRE N"),#REF!,0))</f>
        <v>#REF!</v>
      </c>
      <c r="CK347" s="7" t="e">
        <f>IF(#REF!="","",IF(AND($CE347&gt;0,#REF!="CARIGNAN N"),#REF!,0))</f>
        <v>#REF!</v>
      </c>
      <c r="CL347" s="7" t="e">
        <f>IF(#REF!="","",IF(AND($CE347&gt;0,#REF!="CABERNET SAUVIGNON N"),#REF!,0))</f>
        <v>#REF!</v>
      </c>
      <c r="CM347" s="7" t="e">
        <f>IF(#REF!="","",IF(AND($CE347&gt;0,#REF!="VERMENTINO B"),#REF!,0))</f>
        <v>#REF!</v>
      </c>
      <c r="CN347" s="7" t="e">
        <f>IF(#REF!="","",IF(AND($CE347&gt;0,#REF!="UGNI BLANC B"),#REF!,0))</f>
        <v>#REF!</v>
      </c>
      <c r="CO347" s="7" t="e">
        <f>IF(#REF!="","",IF(AND($CE347&gt;0,#REF!="CLAIRETTE B"),#REF!,0))</f>
        <v>#REF!</v>
      </c>
      <c r="CP347" s="7" t="e">
        <f>IF(#REF!="","",IF(AND($CE347&gt;0,#REF!="semillon B"),#REF!,0))</f>
        <v>#REF!</v>
      </c>
      <c r="CQ347" s="7" t="e">
        <f>IF(#REF!="","",IF(CE347=0,CC347,0))</f>
        <v>#REF!</v>
      </c>
      <c r="CR347" s="17"/>
      <c r="DE347"/>
    </row>
    <row r="348" spans="81:109" x14ac:dyDescent="0.25">
      <c r="CC348" s="7" t="e">
        <f>IF(#REF!="","",IF(#REF!="PF",#REF!,0))</f>
        <v>#REF!</v>
      </c>
      <c r="CD348" s="7" t="e">
        <f>IF(#REF!="","",IF(#REF!="PF",IF((#REF!+4)&lt;YEAR(#REF!),0,#REF!),0))</f>
        <v>#REF!</v>
      </c>
      <c r="CE348" s="7" t="e">
        <f>IF(#REF!="","",IF(AND(CD348&gt;0,#REF!&lt;&gt;""),CC348,0))</f>
        <v>#REF!</v>
      </c>
      <c r="CF348" s="7" t="e">
        <f>IF(#REF!="","",IF(AND($CE348&gt;0,#REF!= "GRENACHE N"),#REF!,0))</f>
        <v>#REF!</v>
      </c>
      <c r="CG348" s="7" t="e">
        <f>IF(#REF!="","",IF(AND($CE348&gt;0,#REF!="SYRAH N"),#REF!,0))</f>
        <v>#REF!</v>
      </c>
      <c r="CH348" s="7" t="e">
        <f>IF(#REF!="","",IF(AND($CE348&gt;0,#REF!="CINSAUT N"),#REF!,0))</f>
        <v>#REF!</v>
      </c>
      <c r="CI348" s="7" t="e">
        <f>IF(#REF!="","",IF(AND($CE348&gt;0,#REF!="TIBOUREN N"),#REF!,0))</f>
        <v>#REF!</v>
      </c>
      <c r="CJ348" s="7" t="e">
        <f>IF(#REF!="","",IF(AND($CE348&gt;0,#REF!="MOURVEDRE N"),#REF!,0))</f>
        <v>#REF!</v>
      </c>
      <c r="CK348" s="7" t="e">
        <f>IF(#REF!="","",IF(AND($CE348&gt;0,#REF!="CARIGNAN N"),#REF!,0))</f>
        <v>#REF!</v>
      </c>
      <c r="CL348" s="7" t="e">
        <f>IF(#REF!="","",IF(AND($CE348&gt;0,#REF!="CABERNET SAUVIGNON N"),#REF!,0))</f>
        <v>#REF!</v>
      </c>
      <c r="CM348" s="7" t="e">
        <f>IF(#REF!="","",IF(AND($CE348&gt;0,#REF!="VERMENTINO B"),#REF!,0))</f>
        <v>#REF!</v>
      </c>
      <c r="CN348" s="7" t="e">
        <f>IF(#REF!="","",IF(AND($CE348&gt;0,#REF!="UGNI BLANC B"),#REF!,0))</f>
        <v>#REF!</v>
      </c>
      <c r="CO348" s="7" t="e">
        <f>IF(#REF!="","",IF(AND($CE348&gt;0,#REF!="CLAIRETTE B"),#REF!,0))</f>
        <v>#REF!</v>
      </c>
      <c r="CP348" s="7" t="e">
        <f>IF(#REF!="","",IF(AND($CE348&gt;0,#REF!="semillon B"),#REF!,0))</f>
        <v>#REF!</v>
      </c>
      <c r="CQ348" s="7" t="e">
        <f>IF(#REF!="","",IF(CE348=0,CC348,0))</f>
        <v>#REF!</v>
      </c>
      <c r="CR348" s="17"/>
      <c r="DE348"/>
    </row>
    <row r="349" spans="81:109" x14ac:dyDescent="0.25">
      <c r="CC349" s="7" t="e">
        <f>IF(#REF!="","",IF(#REF!="PF",#REF!,0))</f>
        <v>#REF!</v>
      </c>
      <c r="CD349" s="7" t="e">
        <f>IF(#REF!="","",IF(#REF!="PF",IF((#REF!+4)&lt;YEAR(#REF!),0,#REF!),0))</f>
        <v>#REF!</v>
      </c>
      <c r="CE349" s="7" t="e">
        <f>IF(#REF!="","",IF(AND(CD349&gt;0,#REF!&lt;&gt;""),CC349,0))</f>
        <v>#REF!</v>
      </c>
      <c r="CF349" s="7" t="e">
        <f>IF(#REF!="","",IF(AND($CE349&gt;0,#REF!= "GRENACHE N"),#REF!,0))</f>
        <v>#REF!</v>
      </c>
      <c r="CG349" s="7" t="e">
        <f>IF(#REF!="","",IF(AND($CE349&gt;0,#REF!="SYRAH N"),#REF!,0))</f>
        <v>#REF!</v>
      </c>
      <c r="CH349" s="7" t="e">
        <f>IF(#REF!="","",IF(AND($CE349&gt;0,#REF!="CINSAUT N"),#REF!,0))</f>
        <v>#REF!</v>
      </c>
      <c r="CI349" s="7" t="e">
        <f>IF(#REF!="","",IF(AND($CE349&gt;0,#REF!="TIBOUREN N"),#REF!,0))</f>
        <v>#REF!</v>
      </c>
      <c r="CJ349" s="7" t="e">
        <f>IF(#REF!="","",IF(AND($CE349&gt;0,#REF!="MOURVEDRE N"),#REF!,0))</f>
        <v>#REF!</v>
      </c>
      <c r="CK349" s="7" t="e">
        <f>IF(#REF!="","",IF(AND($CE349&gt;0,#REF!="CARIGNAN N"),#REF!,0))</f>
        <v>#REF!</v>
      </c>
      <c r="CL349" s="7" t="e">
        <f>IF(#REF!="","",IF(AND($CE349&gt;0,#REF!="CABERNET SAUVIGNON N"),#REF!,0))</f>
        <v>#REF!</v>
      </c>
      <c r="CM349" s="7" t="e">
        <f>IF(#REF!="","",IF(AND($CE349&gt;0,#REF!="VERMENTINO B"),#REF!,0))</f>
        <v>#REF!</v>
      </c>
      <c r="CN349" s="7" t="e">
        <f>IF(#REF!="","",IF(AND($CE349&gt;0,#REF!="UGNI BLANC B"),#REF!,0))</f>
        <v>#REF!</v>
      </c>
      <c r="CO349" s="7" t="e">
        <f>IF(#REF!="","",IF(AND($CE349&gt;0,#REF!="CLAIRETTE B"),#REF!,0))</f>
        <v>#REF!</v>
      </c>
      <c r="CP349" s="7" t="e">
        <f>IF(#REF!="","",IF(AND($CE349&gt;0,#REF!="semillon B"),#REF!,0))</f>
        <v>#REF!</v>
      </c>
      <c r="CQ349" s="7" t="e">
        <f>IF(#REF!="","",IF(CE349=0,CC349,0))</f>
        <v>#REF!</v>
      </c>
      <c r="CR349" s="17"/>
      <c r="DE349"/>
    </row>
    <row r="350" spans="81:109" x14ac:dyDescent="0.25">
      <c r="CC350" s="7" t="e">
        <f>IF(#REF!="","",IF(#REF!="PF",#REF!,0))</f>
        <v>#REF!</v>
      </c>
      <c r="CD350" s="7" t="e">
        <f>IF(#REF!="","",IF(#REF!="PF",IF((#REF!+4)&lt;YEAR(#REF!),0,#REF!),0))</f>
        <v>#REF!</v>
      </c>
      <c r="CE350" s="7" t="e">
        <f>IF(#REF!="","",IF(AND(CD350&gt;0,#REF!&lt;&gt;""),CC350,0))</f>
        <v>#REF!</v>
      </c>
      <c r="CF350" s="7" t="e">
        <f>IF(#REF!="","",IF(AND($CE350&gt;0,#REF!= "GRENACHE N"),#REF!,0))</f>
        <v>#REF!</v>
      </c>
      <c r="CG350" s="7" t="e">
        <f>IF(#REF!="","",IF(AND($CE350&gt;0,#REF!="SYRAH N"),#REF!,0))</f>
        <v>#REF!</v>
      </c>
      <c r="CH350" s="7" t="e">
        <f>IF(#REF!="","",IF(AND($CE350&gt;0,#REF!="CINSAUT N"),#REF!,0))</f>
        <v>#REF!</v>
      </c>
      <c r="CI350" s="7" t="e">
        <f>IF(#REF!="","",IF(AND($CE350&gt;0,#REF!="TIBOUREN N"),#REF!,0))</f>
        <v>#REF!</v>
      </c>
      <c r="CJ350" s="7" t="e">
        <f>IF(#REF!="","",IF(AND($CE350&gt;0,#REF!="MOURVEDRE N"),#REF!,0))</f>
        <v>#REF!</v>
      </c>
      <c r="CK350" s="7" t="e">
        <f>IF(#REF!="","",IF(AND($CE350&gt;0,#REF!="CARIGNAN N"),#REF!,0))</f>
        <v>#REF!</v>
      </c>
      <c r="CL350" s="7" t="e">
        <f>IF(#REF!="","",IF(AND($CE350&gt;0,#REF!="CABERNET SAUVIGNON N"),#REF!,0))</f>
        <v>#REF!</v>
      </c>
      <c r="CM350" s="7" t="e">
        <f>IF(#REF!="","",IF(AND($CE350&gt;0,#REF!="VERMENTINO B"),#REF!,0))</f>
        <v>#REF!</v>
      </c>
      <c r="CN350" s="7" t="e">
        <f>IF(#REF!="","",IF(AND($CE350&gt;0,#REF!="UGNI BLANC B"),#REF!,0))</f>
        <v>#REF!</v>
      </c>
      <c r="CO350" s="7" t="e">
        <f>IF(#REF!="","",IF(AND($CE350&gt;0,#REF!="CLAIRETTE B"),#REF!,0))</f>
        <v>#REF!</v>
      </c>
      <c r="CP350" s="7" t="e">
        <f>IF(#REF!="","",IF(AND($CE350&gt;0,#REF!="semillon B"),#REF!,0))</f>
        <v>#REF!</v>
      </c>
      <c r="CQ350" s="7" t="e">
        <f>IF(#REF!="","",IF(CE350=0,CC350,0))</f>
        <v>#REF!</v>
      </c>
      <c r="CR350" s="17"/>
      <c r="DE350"/>
    </row>
    <row r="351" spans="81:109" x14ac:dyDescent="0.25">
      <c r="CC351" s="7" t="e">
        <f>IF(#REF!="","",IF(#REF!="PF",#REF!,0))</f>
        <v>#REF!</v>
      </c>
      <c r="CD351" s="7" t="e">
        <f>IF(#REF!="","",IF(#REF!="PF",IF((#REF!+4)&lt;YEAR(#REF!),0,#REF!),0))</f>
        <v>#REF!</v>
      </c>
      <c r="CE351" s="7" t="e">
        <f>IF(#REF!="","",IF(AND(CD351&gt;0,#REF!&lt;&gt;""),CC351,0))</f>
        <v>#REF!</v>
      </c>
      <c r="CF351" s="7" t="e">
        <f>IF(#REF!="","",IF(AND($CE351&gt;0,#REF!= "GRENACHE N"),#REF!,0))</f>
        <v>#REF!</v>
      </c>
      <c r="CG351" s="7" t="e">
        <f>IF(#REF!="","",IF(AND($CE351&gt;0,#REF!="SYRAH N"),#REF!,0))</f>
        <v>#REF!</v>
      </c>
      <c r="CH351" s="7" t="e">
        <f>IF(#REF!="","",IF(AND($CE351&gt;0,#REF!="CINSAUT N"),#REF!,0))</f>
        <v>#REF!</v>
      </c>
      <c r="CI351" s="7" t="e">
        <f>IF(#REF!="","",IF(AND($CE351&gt;0,#REF!="TIBOUREN N"),#REF!,0))</f>
        <v>#REF!</v>
      </c>
      <c r="CJ351" s="7" t="e">
        <f>IF(#REF!="","",IF(AND($CE351&gt;0,#REF!="MOURVEDRE N"),#REF!,0))</f>
        <v>#REF!</v>
      </c>
      <c r="CK351" s="7" t="e">
        <f>IF(#REF!="","",IF(AND($CE351&gt;0,#REF!="CARIGNAN N"),#REF!,0))</f>
        <v>#REF!</v>
      </c>
      <c r="CL351" s="7" t="e">
        <f>IF(#REF!="","",IF(AND($CE351&gt;0,#REF!="CABERNET SAUVIGNON N"),#REF!,0))</f>
        <v>#REF!</v>
      </c>
      <c r="CM351" s="7" t="e">
        <f>IF(#REF!="","",IF(AND($CE351&gt;0,#REF!="VERMENTINO B"),#REF!,0))</f>
        <v>#REF!</v>
      </c>
      <c r="CN351" s="7" t="e">
        <f>IF(#REF!="","",IF(AND($CE351&gt;0,#REF!="UGNI BLANC B"),#REF!,0))</f>
        <v>#REF!</v>
      </c>
      <c r="CO351" s="7" t="e">
        <f>IF(#REF!="","",IF(AND($CE351&gt;0,#REF!="CLAIRETTE B"),#REF!,0))</f>
        <v>#REF!</v>
      </c>
      <c r="CP351" s="7" t="e">
        <f>IF(#REF!="","",IF(AND($CE351&gt;0,#REF!="semillon B"),#REF!,0))</f>
        <v>#REF!</v>
      </c>
      <c r="CQ351" s="7" t="e">
        <f>IF(#REF!="","",IF(CE351=0,CC351,0))</f>
        <v>#REF!</v>
      </c>
      <c r="CR351" s="17"/>
      <c r="DE351"/>
    </row>
    <row r="352" spans="81:109" x14ac:dyDescent="0.25">
      <c r="CC352" s="7" t="e">
        <f>IF(#REF!="","",IF(#REF!="PF",#REF!,0))</f>
        <v>#REF!</v>
      </c>
      <c r="CD352" s="7" t="e">
        <f>IF(#REF!="","",IF(#REF!="PF",IF((#REF!+4)&lt;YEAR(#REF!),0,#REF!),0))</f>
        <v>#REF!</v>
      </c>
      <c r="CE352" s="7" t="e">
        <f>IF(#REF!="","",IF(AND(CD352&gt;0,#REF!&lt;&gt;""),CC352,0))</f>
        <v>#REF!</v>
      </c>
      <c r="CF352" s="7" t="e">
        <f>IF(#REF!="","",IF(AND($CE352&gt;0,#REF!= "GRENACHE N"),#REF!,0))</f>
        <v>#REF!</v>
      </c>
      <c r="CG352" s="7" t="e">
        <f>IF(#REF!="","",IF(AND($CE352&gt;0,#REF!="SYRAH N"),#REF!,0))</f>
        <v>#REF!</v>
      </c>
      <c r="CH352" s="7" t="e">
        <f>IF(#REF!="","",IF(AND($CE352&gt;0,#REF!="CINSAUT N"),#REF!,0))</f>
        <v>#REF!</v>
      </c>
      <c r="CI352" s="7" t="e">
        <f>IF(#REF!="","",IF(AND($CE352&gt;0,#REF!="TIBOUREN N"),#REF!,0))</f>
        <v>#REF!</v>
      </c>
      <c r="CJ352" s="7" t="e">
        <f>IF(#REF!="","",IF(AND($CE352&gt;0,#REF!="MOURVEDRE N"),#REF!,0))</f>
        <v>#REF!</v>
      </c>
      <c r="CK352" s="7" t="e">
        <f>IF(#REF!="","",IF(AND($CE352&gt;0,#REF!="CARIGNAN N"),#REF!,0))</f>
        <v>#REF!</v>
      </c>
      <c r="CL352" s="7" t="e">
        <f>IF(#REF!="","",IF(AND($CE352&gt;0,#REF!="CABERNET SAUVIGNON N"),#REF!,0))</f>
        <v>#REF!</v>
      </c>
      <c r="CM352" s="7" t="e">
        <f>IF(#REF!="","",IF(AND($CE352&gt;0,#REF!="VERMENTINO B"),#REF!,0))</f>
        <v>#REF!</v>
      </c>
      <c r="CN352" s="7" t="e">
        <f>IF(#REF!="","",IF(AND($CE352&gt;0,#REF!="UGNI BLANC B"),#REF!,0))</f>
        <v>#REF!</v>
      </c>
      <c r="CO352" s="7" t="e">
        <f>IF(#REF!="","",IF(AND($CE352&gt;0,#REF!="CLAIRETTE B"),#REF!,0))</f>
        <v>#REF!</v>
      </c>
      <c r="CP352" s="7" t="e">
        <f>IF(#REF!="","",IF(AND($CE352&gt;0,#REF!="semillon B"),#REF!,0))</f>
        <v>#REF!</v>
      </c>
      <c r="CQ352" s="7" t="e">
        <f>IF(#REF!="","",IF(CE352=0,CC352,0))</f>
        <v>#REF!</v>
      </c>
      <c r="CR352" s="17"/>
      <c r="DE352"/>
    </row>
    <row r="353" spans="81:109" x14ac:dyDescent="0.25">
      <c r="CC353" s="7" t="e">
        <f>IF(#REF!="","",IF(#REF!="PF",#REF!,0))</f>
        <v>#REF!</v>
      </c>
      <c r="CD353" s="7" t="e">
        <f>IF(#REF!="","",IF(#REF!="PF",IF((#REF!+4)&lt;YEAR(#REF!),0,#REF!),0))</f>
        <v>#REF!</v>
      </c>
      <c r="CE353" s="7" t="e">
        <f>IF(#REF!="","",IF(AND(CD353&gt;0,#REF!&lt;&gt;""),CC353,0))</f>
        <v>#REF!</v>
      </c>
      <c r="CF353" s="7" t="e">
        <f>IF(#REF!="","",IF(AND($CE353&gt;0,#REF!= "GRENACHE N"),#REF!,0))</f>
        <v>#REF!</v>
      </c>
      <c r="CG353" s="7" t="e">
        <f>IF(#REF!="","",IF(AND($CE353&gt;0,#REF!="SYRAH N"),#REF!,0))</f>
        <v>#REF!</v>
      </c>
      <c r="CH353" s="7" t="e">
        <f>IF(#REF!="","",IF(AND($CE353&gt;0,#REF!="CINSAUT N"),#REF!,0))</f>
        <v>#REF!</v>
      </c>
      <c r="CI353" s="7" t="e">
        <f>IF(#REF!="","",IF(AND($CE353&gt;0,#REF!="TIBOUREN N"),#REF!,0))</f>
        <v>#REF!</v>
      </c>
      <c r="CJ353" s="7" t="e">
        <f>IF(#REF!="","",IF(AND($CE353&gt;0,#REF!="MOURVEDRE N"),#REF!,0))</f>
        <v>#REF!</v>
      </c>
      <c r="CK353" s="7" t="e">
        <f>IF(#REF!="","",IF(AND($CE353&gt;0,#REF!="CARIGNAN N"),#REF!,0))</f>
        <v>#REF!</v>
      </c>
      <c r="CL353" s="7" t="e">
        <f>IF(#REF!="","",IF(AND($CE353&gt;0,#REF!="CABERNET SAUVIGNON N"),#REF!,0))</f>
        <v>#REF!</v>
      </c>
      <c r="CM353" s="7" t="e">
        <f>IF(#REF!="","",IF(AND($CE353&gt;0,#REF!="VERMENTINO B"),#REF!,0))</f>
        <v>#REF!</v>
      </c>
      <c r="CN353" s="7" t="e">
        <f>IF(#REF!="","",IF(AND($CE353&gt;0,#REF!="UGNI BLANC B"),#REF!,0))</f>
        <v>#REF!</v>
      </c>
      <c r="CO353" s="7" t="e">
        <f>IF(#REF!="","",IF(AND($CE353&gt;0,#REF!="CLAIRETTE B"),#REF!,0))</f>
        <v>#REF!</v>
      </c>
      <c r="CP353" s="7" t="e">
        <f>IF(#REF!="","",IF(AND($CE353&gt;0,#REF!="semillon B"),#REF!,0))</f>
        <v>#REF!</v>
      </c>
      <c r="CQ353" s="7" t="e">
        <f>IF(#REF!="","",IF(CE353=0,CC353,0))</f>
        <v>#REF!</v>
      </c>
      <c r="CR353" s="17"/>
      <c r="DE353"/>
    </row>
    <row r="354" spans="81:109" x14ac:dyDescent="0.25">
      <c r="CC354" s="7" t="e">
        <f>IF(#REF!="","",IF(#REF!="PF",#REF!,0))</f>
        <v>#REF!</v>
      </c>
      <c r="CD354" s="7" t="e">
        <f>IF(#REF!="","",IF(#REF!="PF",IF((#REF!+4)&lt;YEAR(#REF!),0,#REF!),0))</f>
        <v>#REF!</v>
      </c>
      <c r="CE354" s="7" t="e">
        <f>IF(#REF!="","",IF(AND(CD354&gt;0,#REF!&lt;&gt;""),CC354,0))</f>
        <v>#REF!</v>
      </c>
      <c r="CF354" s="7" t="e">
        <f>IF(#REF!="","",IF(AND($CE354&gt;0,#REF!= "GRENACHE N"),#REF!,0))</f>
        <v>#REF!</v>
      </c>
      <c r="CG354" s="7" t="e">
        <f>IF(#REF!="","",IF(AND($CE354&gt;0,#REF!="SYRAH N"),#REF!,0))</f>
        <v>#REF!</v>
      </c>
      <c r="CH354" s="7" t="e">
        <f>IF(#REF!="","",IF(AND($CE354&gt;0,#REF!="CINSAUT N"),#REF!,0))</f>
        <v>#REF!</v>
      </c>
      <c r="CI354" s="7" t="e">
        <f>IF(#REF!="","",IF(AND($CE354&gt;0,#REF!="TIBOUREN N"),#REF!,0))</f>
        <v>#REF!</v>
      </c>
      <c r="CJ354" s="7" t="e">
        <f>IF(#REF!="","",IF(AND($CE354&gt;0,#REF!="MOURVEDRE N"),#REF!,0))</f>
        <v>#REF!</v>
      </c>
      <c r="CK354" s="7" t="e">
        <f>IF(#REF!="","",IF(AND($CE354&gt;0,#REF!="CARIGNAN N"),#REF!,0))</f>
        <v>#REF!</v>
      </c>
      <c r="CL354" s="7" t="e">
        <f>IF(#REF!="","",IF(AND($CE354&gt;0,#REF!="CABERNET SAUVIGNON N"),#REF!,0))</f>
        <v>#REF!</v>
      </c>
      <c r="CM354" s="7" t="e">
        <f>IF(#REF!="","",IF(AND($CE354&gt;0,#REF!="VERMENTINO B"),#REF!,0))</f>
        <v>#REF!</v>
      </c>
      <c r="CN354" s="7" t="e">
        <f>IF(#REF!="","",IF(AND($CE354&gt;0,#REF!="UGNI BLANC B"),#REF!,0))</f>
        <v>#REF!</v>
      </c>
      <c r="CO354" s="7" t="e">
        <f>IF(#REF!="","",IF(AND($CE354&gt;0,#REF!="CLAIRETTE B"),#REF!,0))</f>
        <v>#REF!</v>
      </c>
      <c r="CP354" s="7" t="e">
        <f>IF(#REF!="","",IF(AND($CE354&gt;0,#REF!="semillon B"),#REF!,0))</f>
        <v>#REF!</v>
      </c>
      <c r="CQ354" s="7" t="e">
        <f>IF(#REF!="","",IF(CE354=0,CC354,0))</f>
        <v>#REF!</v>
      </c>
      <c r="CR354" s="17"/>
      <c r="DE354"/>
    </row>
    <row r="355" spans="81:109" x14ac:dyDescent="0.25">
      <c r="CC355" s="7" t="e">
        <f>IF(#REF!="","",IF(#REF!="PF",#REF!,0))</f>
        <v>#REF!</v>
      </c>
      <c r="CD355" s="7" t="e">
        <f>IF(#REF!="","",IF(#REF!="PF",IF((#REF!+4)&lt;YEAR(#REF!),0,#REF!),0))</f>
        <v>#REF!</v>
      </c>
      <c r="CE355" s="7" t="e">
        <f>IF(#REF!="","",IF(AND(CD355&gt;0,#REF!&lt;&gt;""),CC355,0))</f>
        <v>#REF!</v>
      </c>
      <c r="CF355" s="7" t="e">
        <f>IF(#REF!="","",IF(AND($CE355&gt;0,#REF!= "GRENACHE N"),#REF!,0))</f>
        <v>#REF!</v>
      </c>
      <c r="CG355" s="7" t="e">
        <f>IF(#REF!="","",IF(AND($CE355&gt;0,#REF!="SYRAH N"),#REF!,0))</f>
        <v>#REF!</v>
      </c>
      <c r="CH355" s="7" t="e">
        <f>IF(#REF!="","",IF(AND($CE355&gt;0,#REF!="CINSAUT N"),#REF!,0))</f>
        <v>#REF!</v>
      </c>
      <c r="CI355" s="7" t="e">
        <f>IF(#REF!="","",IF(AND($CE355&gt;0,#REF!="TIBOUREN N"),#REF!,0))</f>
        <v>#REF!</v>
      </c>
      <c r="CJ355" s="7" t="e">
        <f>IF(#REF!="","",IF(AND($CE355&gt;0,#REF!="MOURVEDRE N"),#REF!,0))</f>
        <v>#REF!</v>
      </c>
      <c r="CK355" s="7" t="e">
        <f>IF(#REF!="","",IF(AND($CE355&gt;0,#REF!="CARIGNAN N"),#REF!,0))</f>
        <v>#REF!</v>
      </c>
      <c r="CL355" s="7" t="e">
        <f>IF(#REF!="","",IF(AND($CE355&gt;0,#REF!="CABERNET SAUVIGNON N"),#REF!,0))</f>
        <v>#REF!</v>
      </c>
      <c r="CM355" s="7" t="e">
        <f>IF(#REF!="","",IF(AND($CE355&gt;0,#REF!="VERMENTINO B"),#REF!,0))</f>
        <v>#REF!</v>
      </c>
      <c r="CN355" s="7" t="e">
        <f>IF(#REF!="","",IF(AND($CE355&gt;0,#REF!="UGNI BLANC B"),#REF!,0))</f>
        <v>#REF!</v>
      </c>
      <c r="CO355" s="7" t="e">
        <f>IF(#REF!="","",IF(AND($CE355&gt;0,#REF!="CLAIRETTE B"),#REF!,0))</f>
        <v>#REF!</v>
      </c>
      <c r="CP355" s="7" t="e">
        <f>IF(#REF!="","",IF(AND($CE355&gt;0,#REF!="semillon B"),#REF!,0))</f>
        <v>#REF!</v>
      </c>
      <c r="CQ355" s="7" t="e">
        <f>IF(#REF!="","",IF(CE355=0,CC355,0))</f>
        <v>#REF!</v>
      </c>
      <c r="CR355" s="17"/>
      <c r="DE355"/>
    </row>
    <row r="356" spans="81:109" x14ac:dyDescent="0.25">
      <c r="CC356" s="7" t="e">
        <f>IF(#REF!="","",IF(#REF!="PF",#REF!,0))</f>
        <v>#REF!</v>
      </c>
      <c r="CD356" s="7" t="e">
        <f>IF(#REF!="","",IF(#REF!="PF",IF((#REF!+4)&lt;YEAR(#REF!),0,#REF!),0))</f>
        <v>#REF!</v>
      </c>
      <c r="CE356" s="7" t="e">
        <f>IF(#REF!="","",IF(AND(CD356&gt;0,#REF!&lt;&gt;""),CC356,0))</f>
        <v>#REF!</v>
      </c>
      <c r="CF356" s="7" t="e">
        <f>IF(#REF!="","",IF(AND($CE356&gt;0,#REF!= "GRENACHE N"),#REF!,0))</f>
        <v>#REF!</v>
      </c>
      <c r="CG356" s="7" t="e">
        <f>IF(#REF!="","",IF(AND($CE356&gt;0,#REF!="SYRAH N"),#REF!,0))</f>
        <v>#REF!</v>
      </c>
      <c r="CH356" s="7" t="e">
        <f>IF(#REF!="","",IF(AND($CE356&gt;0,#REF!="CINSAUT N"),#REF!,0))</f>
        <v>#REF!</v>
      </c>
      <c r="CI356" s="7" t="e">
        <f>IF(#REF!="","",IF(AND($CE356&gt;0,#REF!="TIBOUREN N"),#REF!,0))</f>
        <v>#REF!</v>
      </c>
      <c r="CJ356" s="7" t="e">
        <f>IF(#REF!="","",IF(AND($CE356&gt;0,#REF!="MOURVEDRE N"),#REF!,0))</f>
        <v>#REF!</v>
      </c>
      <c r="CK356" s="7" t="e">
        <f>IF(#REF!="","",IF(AND($CE356&gt;0,#REF!="CARIGNAN N"),#REF!,0))</f>
        <v>#REF!</v>
      </c>
      <c r="CL356" s="7" t="e">
        <f>IF(#REF!="","",IF(AND($CE356&gt;0,#REF!="CABERNET SAUVIGNON N"),#REF!,0))</f>
        <v>#REF!</v>
      </c>
      <c r="CM356" s="7" t="e">
        <f>IF(#REF!="","",IF(AND($CE356&gt;0,#REF!="VERMENTINO B"),#REF!,0))</f>
        <v>#REF!</v>
      </c>
      <c r="CN356" s="7" t="e">
        <f>IF(#REF!="","",IF(AND($CE356&gt;0,#REF!="UGNI BLANC B"),#REF!,0))</f>
        <v>#REF!</v>
      </c>
      <c r="CO356" s="7" t="e">
        <f>IF(#REF!="","",IF(AND($CE356&gt;0,#REF!="CLAIRETTE B"),#REF!,0))</f>
        <v>#REF!</v>
      </c>
      <c r="CP356" s="7" t="e">
        <f>IF(#REF!="","",IF(AND($CE356&gt;0,#REF!="semillon B"),#REF!,0))</f>
        <v>#REF!</v>
      </c>
      <c r="CQ356" s="7" t="e">
        <f>IF(#REF!="","",IF(CE356=0,CC356,0))</f>
        <v>#REF!</v>
      </c>
      <c r="CR356" s="17"/>
      <c r="DE356"/>
    </row>
    <row r="357" spans="81:109" x14ac:dyDescent="0.25">
      <c r="CC357" s="7" t="e">
        <f>IF(#REF!="","",IF(#REF!="PF",#REF!,0))</f>
        <v>#REF!</v>
      </c>
      <c r="CD357" s="7" t="e">
        <f>IF(#REF!="","",IF(#REF!="PF",IF((#REF!+4)&lt;YEAR(#REF!),0,#REF!),0))</f>
        <v>#REF!</v>
      </c>
      <c r="CE357" s="7" t="e">
        <f>IF(#REF!="","",IF(AND(CD357&gt;0,#REF!&lt;&gt;""),CC357,0))</f>
        <v>#REF!</v>
      </c>
      <c r="CF357" s="7" t="e">
        <f>IF(#REF!="","",IF(AND($CE357&gt;0,#REF!= "GRENACHE N"),#REF!,0))</f>
        <v>#REF!</v>
      </c>
      <c r="CG357" s="7" t="e">
        <f>IF(#REF!="","",IF(AND($CE357&gt;0,#REF!="SYRAH N"),#REF!,0))</f>
        <v>#REF!</v>
      </c>
      <c r="CH357" s="7" t="e">
        <f>IF(#REF!="","",IF(AND($CE357&gt;0,#REF!="CINSAUT N"),#REF!,0))</f>
        <v>#REF!</v>
      </c>
      <c r="CI357" s="7" t="e">
        <f>IF(#REF!="","",IF(AND($CE357&gt;0,#REF!="TIBOUREN N"),#REF!,0))</f>
        <v>#REF!</v>
      </c>
      <c r="CJ357" s="7" t="e">
        <f>IF(#REF!="","",IF(AND($CE357&gt;0,#REF!="MOURVEDRE N"),#REF!,0))</f>
        <v>#REF!</v>
      </c>
      <c r="CK357" s="7" t="e">
        <f>IF(#REF!="","",IF(AND($CE357&gt;0,#REF!="CARIGNAN N"),#REF!,0))</f>
        <v>#REF!</v>
      </c>
      <c r="CL357" s="7" t="e">
        <f>IF(#REF!="","",IF(AND($CE357&gt;0,#REF!="CABERNET SAUVIGNON N"),#REF!,0))</f>
        <v>#REF!</v>
      </c>
      <c r="CM357" s="7" t="e">
        <f>IF(#REF!="","",IF(AND($CE357&gt;0,#REF!="VERMENTINO B"),#REF!,0))</f>
        <v>#REF!</v>
      </c>
      <c r="CN357" s="7" t="e">
        <f>IF(#REF!="","",IF(AND($CE357&gt;0,#REF!="UGNI BLANC B"),#REF!,0))</f>
        <v>#REF!</v>
      </c>
      <c r="CO357" s="7" t="e">
        <f>IF(#REF!="","",IF(AND($CE357&gt;0,#REF!="CLAIRETTE B"),#REF!,0))</f>
        <v>#REF!</v>
      </c>
      <c r="CP357" s="7" t="e">
        <f>IF(#REF!="","",IF(AND($CE357&gt;0,#REF!="semillon B"),#REF!,0))</f>
        <v>#REF!</v>
      </c>
      <c r="CQ357" s="7" t="e">
        <f>IF(#REF!="","",IF(CE357=0,CC357,0))</f>
        <v>#REF!</v>
      </c>
      <c r="CR357" s="17"/>
      <c r="DE357"/>
    </row>
    <row r="358" spans="81:109" x14ac:dyDescent="0.25">
      <c r="CC358" s="7" t="e">
        <f>IF(#REF!="","",IF(#REF!="PF",#REF!,0))</f>
        <v>#REF!</v>
      </c>
      <c r="CD358" s="7" t="e">
        <f>IF(#REF!="","",IF(#REF!="PF",IF((#REF!+4)&lt;YEAR(#REF!),0,#REF!),0))</f>
        <v>#REF!</v>
      </c>
      <c r="CE358" s="7" t="e">
        <f>IF(#REF!="","",IF(AND(CD358&gt;0,#REF!&lt;&gt;""),CC358,0))</f>
        <v>#REF!</v>
      </c>
      <c r="CF358" s="7" t="e">
        <f>IF(#REF!="","",IF(AND($CE358&gt;0,#REF!= "GRENACHE N"),#REF!,0))</f>
        <v>#REF!</v>
      </c>
      <c r="CG358" s="7" t="e">
        <f>IF(#REF!="","",IF(AND($CE358&gt;0,#REF!="SYRAH N"),#REF!,0))</f>
        <v>#REF!</v>
      </c>
      <c r="CH358" s="7" t="e">
        <f>IF(#REF!="","",IF(AND($CE358&gt;0,#REF!="CINSAUT N"),#REF!,0))</f>
        <v>#REF!</v>
      </c>
      <c r="CI358" s="7" t="e">
        <f>IF(#REF!="","",IF(AND($CE358&gt;0,#REF!="TIBOUREN N"),#REF!,0))</f>
        <v>#REF!</v>
      </c>
      <c r="CJ358" s="7" t="e">
        <f>IF(#REF!="","",IF(AND($CE358&gt;0,#REF!="MOURVEDRE N"),#REF!,0))</f>
        <v>#REF!</v>
      </c>
      <c r="CK358" s="7" t="e">
        <f>IF(#REF!="","",IF(AND($CE358&gt;0,#REF!="CARIGNAN N"),#REF!,0))</f>
        <v>#REF!</v>
      </c>
      <c r="CL358" s="7" t="e">
        <f>IF(#REF!="","",IF(AND($CE358&gt;0,#REF!="CABERNET SAUVIGNON N"),#REF!,0))</f>
        <v>#REF!</v>
      </c>
      <c r="CM358" s="7" t="e">
        <f>IF(#REF!="","",IF(AND($CE358&gt;0,#REF!="VERMENTINO B"),#REF!,0))</f>
        <v>#REF!</v>
      </c>
      <c r="CN358" s="7" t="e">
        <f>IF(#REF!="","",IF(AND($CE358&gt;0,#REF!="UGNI BLANC B"),#REF!,0))</f>
        <v>#REF!</v>
      </c>
      <c r="CO358" s="7" t="e">
        <f>IF(#REF!="","",IF(AND($CE358&gt;0,#REF!="CLAIRETTE B"),#REF!,0))</f>
        <v>#REF!</v>
      </c>
      <c r="CP358" s="7" t="e">
        <f>IF(#REF!="","",IF(AND($CE358&gt;0,#REF!="semillon B"),#REF!,0))</f>
        <v>#REF!</v>
      </c>
      <c r="CQ358" s="7" t="e">
        <f>IF(#REF!="","",IF(CE358=0,CC358,0))</f>
        <v>#REF!</v>
      </c>
      <c r="CR358" s="17"/>
      <c r="DE358"/>
    </row>
    <row r="359" spans="81:109" x14ac:dyDescent="0.25">
      <c r="CC359" s="7" t="e">
        <f>IF(#REF!="","",IF(#REF!="PF",#REF!,0))</f>
        <v>#REF!</v>
      </c>
      <c r="CD359" s="7" t="e">
        <f>IF(#REF!="","",IF(#REF!="PF",IF((#REF!+4)&lt;YEAR(#REF!),0,#REF!),0))</f>
        <v>#REF!</v>
      </c>
      <c r="CE359" s="7" t="e">
        <f>IF(#REF!="","",IF(AND(CD359&gt;0,#REF!&lt;&gt;""),CC359,0))</f>
        <v>#REF!</v>
      </c>
      <c r="CF359" s="7" t="e">
        <f>IF(#REF!="","",IF(AND($CE359&gt;0,#REF!= "GRENACHE N"),#REF!,0))</f>
        <v>#REF!</v>
      </c>
      <c r="CG359" s="7" t="e">
        <f>IF(#REF!="","",IF(AND($CE359&gt;0,#REF!="SYRAH N"),#REF!,0))</f>
        <v>#REF!</v>
      </c>
      <c r="CH359" s="7" t="e">
        <f>IF(#REF!="","",IF(AND($CE359&gt;0,#REF!="CINSAUT N"),#REF!,0))</f>
        <v>#REF!</v>
      </c>
      <c r="CI359" s="7" t="e">
        <f>IF(#REF!="","",IF(AND($CE359&gt;0,#REF!="TIBOUREN N"),#REF!,0))</f>
        <v>#REF!</v>
      </c>
      <c r="CJ359" s="7" t="e">
        <f>IF(#REF!="","",IF(AND($CE359&gt;0,#REF!="MOURVEDRE N"),#REF!,0))</f>
        <v>#REF!</v>
      </c>
      <c r="CK359" s="7" t="e">
        <f>IF(#REF!="","",IF(AND($CE359&gt;0,#REF!="CARIGNAN N"),#REF!,0))</f>
        <v>#REF!</v>
      </c>
      <c r="CL359" s="7" t="e">
        <f>IF(#REF!="","",IF(AND($CE359&gt;0,#REF!="CABERNET SAUVIGNON N"),#REF!,0))</f>
        <v>#REF!</v>
      </c>
      <c r="CM359" s="7" t="e">
        <f>IF(#REF!="","",IF(AND($CE359&gt;0,#REF!="VERMENTINO B"),#REF!,0))</f>
        <v>#REF!</v>
      </c>
      <c r="CN359" s="7" t="e">
        <f>IF(#REF!="","",IF(AND($CE359&gt;0,#REF!="UGNI BLANC B"),#REF!,0))</f>
        <v>#REF!</v>
      </c>
      <c r="CO359" s="7" t="e">
        <f>IF(#REF!="","",IF(AND($CE359&gt;0,#REF!="CLAIRETTE B"),#REF!,0))</f>
        <v>#REF!</v>
      </c>
      <c r="CP359" s="7" t="e">
        <f>IF(#REF!="","",IF(AND($CE359&gt;0,#REF!="semillon B"),#REF!,0))</f>
        <v>#REF!</v>
      </c>
      <c r="CQ359" s="7" t="e">
        <f>IF(#REF!="","",IF(CE359=0,CC359,0))</f>
        <v>#REF!</v>
      </c>
      <c r="CR359" s="17"/>
      <c r="DE359"/>
    </row>
    <row r="360" spans="81:109" x14ac:dyDescent="0.25">
      <c r="CC360" s="7" t="e">
        <f>IF(#REF!="","",IF(#REF!="PF",#REF!,0))</f>
        <v>#REF!</v>
      </c>
      <c r="CD360" s="7" t="e">
        <f>IF(#REF!="","",IF(#REF!="PF",IF((#REF!+4)&lt;YEAR(#REF!),0,#REF!),0))</f>
        <v>#REF!</v>
      </c>
      <c r="CE360" s="7" t="e">
        <f>IF(#REF!="","",IF(AND(CD360&gt;0,#REF!&lt;&gt;""),CC360,0))</f>
        <v>#REF!</v>
      </c>
      <c r="CF360" s="7" t="e">
        <f>IF(#REF!="","",IF(AND($CE360&gt;0,#REF!= "GRENACHE N"),#REF!,0))</f>
        <v>#REF!</v>
      </c>
      <c r="CG360" s="7" t="e">
        <f>IF(#REF!="","",IF(AND($CE360&gt;0,#REF!="SYRAH N"),#REF!,0))</f>
        <v>#REF!</v>
      </c>
      <c r="CH360" s="7" t="e">
        <f>IF(#REF!="","",IF(AND($CE360&gt;0,#REF!="CINSAUT N"),#REF!,0))</f>
        <v>#REF!</v>
      </c>
      <c r="CI360" s="7" t="e">
        <f>IF(#REF!="","",IF(AND($CE360&gt;0,#REF!="TIBOUREN N"),#REF!,0))</f>
        <v>#REF!</v>
      </c>
      <c r="CJ360" s="7" t="e">
        <f>IF(#REF!="","",IF(AND($CE360&gt;0,#REF!="MOURVEDRE N"),#REF!,0))</f>
        <v>#REF!</v>
      </c>
      <c r="CK360" s="7" t="e">
        <f>IF(#REF!="","",IF(AND($CE360&gt;0,#REF!="CARIGNAN N"),#REF!,0))</f>
        <v>#REF!</v>
      </c>
      <c r="CL360" s="7" t="e">
        <f>IF(#REF!="","",IF(AND($CE360&gt;0,#REF!="CABERNET SAUVIGNON N"),#REF!,0))</f>
        <v>#REF!</v>
      </c>
      <c r="CM360" s="7" t="e">
        <f>IF(#REF!="","",IF(AND($CE360&gt;0,#REF!="VERMENTINO B"),#REF!,0))</f>
        <v>#REF!</v>
      </c>
      <c r="CN360" s="7" t="e">
        <f>IF(#REF!="","",IF(AND($CE360&gt;0,#REF!="UGNI BLANC B"),#REF!,0))</f>
        <v>#REF!</v>
      </c>
      <c r="CO360" s="7" t="e">
        <f>IF(#REF!="","",IF(AND($CE360&gt;0,#REF!="CLAIRETTE B"),#REF!,0))</f>
        <v>#REF!</v>
      </c>
      <c r="CP360" s="7" t="e">
        <f>IF(#REF!="","",IF(AND($CE360&gt;0,#REF!="semillon B"),#REF!,0))</f>
        <v>#REF!</v>
      </c>
      <c r="CQ360" s="7" t="e">
        <f>IF(#REF!="","",IF(CE360=0,CC360,0))</f>
        <v>#REF!</v>
      </c>
      <c r="CR360" s="17"/>
      <c r="DE360"/>
    </row>
    <row r="361" spans="81:109" x14ac:dyDescent="0.25">
      <c r="CC361" s="7" t="e">
        <f>IF(#REF!="","",IF(#REF!="PF",#REF!,0))</f>
        <v>#REF!</v>
      </c>
      <c r="CD361" s="7" t="e">
        <f>IF(#REF!="","",IF(#REF!="PF",IF((#REF!+4)&lt;YEAR(#REF!),0,#REF!),0))</f>
        <v>#REF!</v>
      </c>
      <c r="CE361" s="7" t="e">
        <f>IF(#REF!="","",IF(AND(CD361&gt;0,#REF!&lt;&gt;""),CC361,0))</f>
        <v>#REF!</v>
      </c>
      <c r="CF361" s="7" t="e">
        <f>IF(#REF!="","",IF(AND($CE361&gt;0,#REF!= "GRENACHE N"),#REF!,0))</f>
        <v>#REF!</v>
      </c>
      <c r="CG361" s="7" t="e">
        <f>IF(#REF!="","",IF(AND($CE361&gt;0,#REF!="SYRAH N"),#REF!,0))</f>
        <v>#REF!</v>
      </c>
      <c r="CH361" s="7" t="e">
        <f>IF(#REF!="","",IF(AND($CE361&gt;0,#REF!="CINSAUT N"),#REF!,0))</f>
        <v>#REF!</v>
      </c>
      <c r="CI361" s="7" t="e">
        <f>IF(#REF!="","",IF(AND($CE361&gt;0,#REF!="TIBOUREN N"),#REF!,0))</f>
        <v>#REF!</v>
      </c>
      <c r="CJ361" s="7" t="e">
        <f>IF(#REF!="","",IF(AND($CE361&gt;0,#REF!="MOURVEDRE N"),#REF!,0))</f>
        <v>#REF!</v>
      </c>
      <c r="CK361" s="7" t="e">
        <f>IF(#REF!="","",IF(AND($CE361&gt;0,#REF!="CARIGNAN N"),#REF!,0))</f>
        <v>#REF!</v>
      </c>
      <c r="CL361" s="7" t="e">
        <f>IF(#REF!="","",IF(AND($CE361&gt;0,#REF!="CABERNET SAUVIGNON N"),#REF!,0))</f>
        <v>#REF!</v>
      </c>
      <c r="CM361" s="7" t="e">
        <f>IF(#REF!="","",IF(AND($CE361&gt;0,#REF!="VERMENTINO B"),#REF!,0))</f>
        <v>#REF!</v>
      </c>
      <c r="CN361" s="7" t="e">
        <f>IF(#REF!="","",IF(AND($CE361&gt;0,#REF!="UGNI BLANC B"),#REF!,0))</f>
        <v>#REF!</v>
      </c>
      <c r="CO361" s="7" t="e">
        <f>IF(#REF!="","",IF(AND($CE361&gt;0,#REF!="CLAIRETTE B"),#REF!,0))</f>
        <v>#REF!</v>
      </c>
      <c r="CP361" s="7" t="e">
        <f>IF(#REF!="","",IF(AND($CE361&gt;0,#REF!="semillon B"),#REF!,0))</f>
        <v>#REF!</v>
      </c>
      <c r="CQ361" s="7" t="e">
        <f>IF(#REF!="","",IF(CE361=0,CC361,0))</f>
        <v>#REF!</v>
      </c>
      <c r="CR361" s="17"/>
      <c r="DE361"/>
    </row>
    <row r="362" spans="81:109" x14ac:dyDescent="0.25">
      <c r="CC362" s="7" t="e">
        <f>IF(#REF!="","",IF(#REF!="PF",#REF!,0))</f>
        <v>#REF!</v>
      </c>
      <c r="CD362" s="7" t="e">
        <f>IF(#REF!="","",IF(#REF!="PF",IF((#REF!+4)&lt;YEAR(#REF!),0,#REF!),0))</f>
        <v>#REF!</v>
      </c>
      <c r="CE362" s="7" t="e">
        <f>IF(#REF!="","",IF(AND(CD362&gt;0,#REF!&lt;&gt;""),CC362,0))</f>
        <v>#REF!</v>
      </c>
      <c r="CF362" s="7" t="e">
        <f>IF(#REF!="","",IF(AND($CE362&gt;0,#REF!= "GRENACHE N"),#REF!,0))</f>
        <v>#REF!</v>
      </c>
      <c r="CG362" s="7" t="e">
        <f>IF(#REF!="","",IF(AND($CE362&gt;0,#REF!="SYRAH N"),#REF!,0))</f>
        <v>#REF!</v>
      </c>
      <c r="CH362" s="7" t="e">
        <f>IF(#REF!="","",IF(AND($CE362&gt;0,#REF!="CINSAUT N"),#REF!,0))</f>
        <v>#REF!</v>
      </c>
      <c r="CI362" s="7" t="e">
        <f>IF(#REF!="","",IF(AND($CE362&gt;0,#REF!="TIBOUREN N"),#REF!,0))</f>
        <v>#REF!</v>
      </c>
      <c r="CJ362" s="7" t="e">
        <f>IF(#REF!="","",IF(AND($CE362&gt;0,#REF!="MOURVEDRE N"),#REF!,0))</f>
        <v>#REF!</v>
      </c>
      <c r="CK362" s="7" t="e">
        <f>IF(#REF!="","",IF(AND($CE362&gt;0,#REF!="CARIGNAN N"),#REF!,0))</f>
        <v>#REF!</v>
      </c>
      <c r="CL362" s="7" t="e">
        <f>IF(#REF!="","",IF(AND($CE362&gt;0,#REF!="CABERNET SAUVIGNON N"),#REF!,0))</f>
        <v>#REF!</v>
      </c>
      <c r="CM362" s="7" t="e">
        <f>IF(#REF!="","",IF(AND($CE362&gt;0,#REF!="VERMENTINO B"),#REF!,0))</f>
        <v>#REF!</v>
      </c>
      <c r="CN362" s="7" t="e">
        <f>IF(#REF!="","",IF(AND($CE362&gt;0,#REF!="UGNI BLANC B"),#REF!,0))</f>
        <v>#REF!</v>
      </c>
      <c r="CO362" s="7" t="e">
        <f>IF(#REF!="","",IF(AND($CE362&gt;0,#REF!="CLAIRETTE B"),#REF!,0))</f>
        <v>#REF!</v>
      </c>
      <c r="CP362" s="7" t="e">
        <f>IF(#REF!="","",IF(AND($CE362&gt;0,#REF!="semillon B"),#REF!,0))</f>
        <v>#REF!</v>
      </c>
      <c r="CQ362" s="7" t="e">
        <f>IF(#REF!="","",IF(CE362=0,CC362,0))</f>
        <v>#REF!</v>
      </c>
      <c r="CR362" s="17"/>
      <c r="DE362"/>
    </row>
    <row r="363" spans="81:109" x14ac:dyDescent="0.25">
      <c r="CC363" s="7" t="e">
        <f>IF(#REF!="","",IF(#REF!="PF",#REF!,0))</f>
        <v>#REF!</v>
      </c>
      <c r="CD363" s="7" t="e">
        <f>IF(#REF!="","",IF(#REF!="PF",IF((#REF!+4)&lt;YEAR(#REF!),0,#REF!),0))</f>
        <v>#REF!</v>
      </c>
      <c r="CE363" s="7" t="e">
        <f>IF(#REF!="","",IF(AND(CD363&gt;0,#REF!&lt;&gt;""),CC363,0))</f>
        <v>#REF!</v>
      </c>
      <c r="CF363" s="7" t="e">
        <f>IF(#REF!="","",IF(AND($CE363&gt;0,#REF!= "GRENACHE N"),#REF!,0))</f>
        <v>#REF!</v>
      </c>
      <c r="CG363" s="7" t="e">
        <f>IF(#REF!="","",IF(AND($CE363&gt;0,#REF!="SYRAH N"),#REF!,0))</f>
        <v>#REF!</v>
      </c>
      <c r="CH363" s="7" t="e">
        <f>IF(#REF!="","",IF(AND($CE363&gt;0,#REF!="CINSAUT N"),#REF!,0))</f>
        <v>#REF!</v>
      </c>
      <c r="CI363" s="7" t="e">
        <f>IF(#REF!="","",IF(AND($CE363&gt;0,#REF!="TIBOUREN N"),#REF!,0))</f>
        <v>#REF!</v>
      </c>
      <c r="CJ363" s="7" t="e">
        <f>IF(#REF!="","",IF(AND($CE363&gt;0,#REF!="MOURVEDRE N"),#REF!,0))</f>
        <v>#REF!</v>
      </c>
      <c r="CK363" s="7" t="e">
        <f>IF(#REF!="","",IF(AND($CE363&gt;0,#REF!="CARIGNAN N"),#REF!,0))</f>
        <v>#REF!</v>
      </c>
      <c r="CL363" s="7" t="e">
        <f>IF(#REF!="","",IF(AND($CE363&gt;0,#REF!="CABERNET SAUVIGNON N"),#REF!,0))</f>
        <v>#REF!</v>
      </c>
      <c r="CM363" s="7" t="e">
        <f>IF(#REF!="","",IF(AND($CE363&gt;0,#REF!="VERMENTINO B"),#REF!,0))</f>
        <v>#REF!</v>
      </c>
      <c r="CN363" s="7" t="e">
        <f>IF(#REF!="","",IF(AND($CE363&gt;0,#REF!="UGNI BLANC B"),#REF!,0))</f>
        <v>#REF!</v>
      </c>
      <c r="CO363" s="7" t="e">
        <f>IF(#REF!="","",IF(AND($CE363&gt;0,#REF!="CLAIRETTE B"),#REF!,0))</f>
        <v>#REF!</v>
      </c>
      <c r="CP363" s="7" t="e">
        <f>IF(#REF!="","",IF(AND($CE363&gt;0,#REF!="semillon B"),#REF!,0))</f>
        <v>#REF!</v>
      </c>
      <c r="CQ363" s="7" t="e">
        <f>IF(#REF!="","",IF(CE363=0,CC363,0))</f>
        <v>#REF!</v>
      </c>
      <c r="CR363" s="17"/>
      <c r="DE363"/>
    </row>
    <row r="364" spans="81:109" x14ac:dyDescent="0.25">
      <c r="CC364" s="7" t="e">
        <f>IF(#REF!="","",IF(#REF!="PF",#REF!,0))</f>
        <v>#REF!</v>
      </c>
      <c r="CD364" s="7" t="e">
        <f>IF(#REF!="","",IF(#REF!="PF",IF((#REF!+4)&lt;YEAR(#REF!),0,#REF!),0))</f>
        <v>#REF!</v>
      </c>
      <c r="CE364" s="7" t="e">
        <f>IF(#REF!="","",IF(AND(CD364&gt;0,#REF!&lt;&gt;""),CC364,0))</f>
        <v>#REF!</v>
      </c>
      <c r="CF364" s="7" t="e">
        <f>IF(#REF!="","",IF(AND($CE364&gt;0,#REF!= "GRENACHE N"),#REF!,0))</f>
        <v>#REF!</v>
      </c>
      <c r="CG364" s="7" t="e">
        <f>IF(#REF!="","",IF(AND($CE364&gt;0,#REF!="SYRAH N"),#REF!,0))</f>
        <v>#REF!</v>
      </c>
      <c r="CH364" s="7" t="e">
        <f>IF(#REF!="","",IF(AND($CE364&gt;0,#REF!="CINSAUT N"),#REF!,0))</f>
        <v>#REF!</v>
      </c>
      <c r="CI364" s="7" t="e">
        <f>IF(#REF!="","",IF(AND($CE364&gt;0,#REF!="TIBOUREN N"),#REF!,0))</f>
        <v>#REF!</v>
      </c>
      <c r="CJ364" s="7" t="e">
        <f>IF(#REF!="","",IF(AND($CE364&gt;0,#REF!="MOURVEDRE N"),#REF!,0))</f>
        <v>#REF!</v>
      </c>
      <c r="CK364" s="7" t="e">
        <f>IF(#REF!="","",IF(AND($CE364&gt;0,#REF!="CARIGNAN N"),#REF!,0))</f>
        <v>#REF!</v>
      </c>
      <c r="CL364" s="7" t="e">
        <f>IF(#REF!="","",IF(AND($CE364&gt;0,#REF!="CABERNET SAUVIGNON N"),#REF!,0))</f>
        <v>#REF!</v>
      </c>
      <c r="CM364" s="7" t="e">
        <f>IF(#REF!="","",IF(AND($CE364&gt;0,#REF!="VERMENTINO B"),#REF!,0))</f>
        <v>#REF!</v>
      </c>
      <c r="CN364" s="7" t="e">
        <f>IF(#REF!="","",IF(AND($CE364&gt;0,#REF!="UGNI BLANC B"),#REF!,0))</f>
        <v>#REF!</v>
      </c>
      <c r="CO364" s="7" t="e">
        <f>IF(#REF!="","",IF(AND($CE364&gt;0,#REF!="CLAIRETTE B"),#REF!,0))</f>
        <v>#REF!</v>
      </c>
      <c r="CP364" s="7" t="e">
        <f>IF(#REF!="","",IF(AND($CE364&gt;0,#REF!="semillon B"),#REF!,0))</f>
        <v>#REF!</v>
      </c>
      <c r="CQ364" s="7" t="e">
        <f>IF(#REF!="","",IF(CE364=0,CC364,0))</f>
        <v>#REF!</v>
      </c>
      <c r="CR364" s="17"/>
      <c r="DE364"/>
    </row>
    <row r="365" spans="81:109" x14ac:dyDescent="0.25">
      <c r="CC365" s="7" t="e">
        <f>IF(#REF!="","",IF(#REF!="PF",#REF!,0))</f>
        <v>#REF!</v>
      </c>
      <c r="CD365" s="7" t="e">
        <f>IF(#REF!="","",IF(#REF!="PF",IF((#REF!+4)&lt;YEAR(#REF!),0,#REF!),0))</f>
        <v>#REF!</v>
      </c>
      <c r="CE365" s="7" t="e">
        <f>IF(#REF!="","",IF(AND(CD365&gt;0,#REF!&lt;&gt;""),CC365,0))</f>
        <v>#REF!</v>
      </c>
      <c r="CF365" s="7" t="e">
        <f>IF(#REF!="","",IF(AND($CE365&gt;0,#REF!= "GRENACHE N"),#REF!,0))</f>
        <v>#REF!</v>
      </c>
      <c r="CG365" s="7" t="e">
        <f>IF(#REF!="","",IF(AND($CE365&gt;0,#REF!="SYRAH N"),#REF!,0))</f>
        <v>#REF!</v>
      </c>
      <c r="CH365" s="7" t="e">
        <f>IF(#REF!="","",IF(AND($CE365&gt;0,#REF!="CINSAUT N"),#REF!,0))</f>
        <v>#REF!</v>
      </c>
      <c r="CI365" s="7" t="e">
        <f>IF(#REF!="","",IF(AND($CE365&gt;0,#REF!="TIBOUREN N"),#REF!,0))</f>
        <v>#REF!</v>
      </c>
      <c r="CJ365" s="7" t="e">
        <f>IF(#REF!="","",IF(AND($CE365&gt;0,#REF!="MOURVEDRE N"),#REF!,0))</f>
        <v>#REF!</v>
      </c>
      <c r="CK365" s="7" t="e">
        <f>IF(#REF!="","",IF(AND($CE365&gt;0,#REF!="CARIGNAN N"),#REF!,0))</f>
        <v>#REF!</v>
      </c>
      <c r="CL365" s="7" t="e">
        <f>IF(#REF!="","",IF(AND($CE365&gt;0,#REF!="CABERNET SAUVIGNON N"),#REF!,0))</f>
        <v>#REF!</v>
      </c>
      <c r="CM365" s="7" t="e">
        <f>IF(#REF!="","",IF(AND($CE365&gt;0,#REF!="VERMENTINO B"),#REF!,0))</f>
        <v>#REF!</v>
      </c>
      <c r="CN365" s="7" t="e">
        <f>IF(#REF!="","",IF(AND($CE365&gt;0,#REF!="UGNI BLANC B"),#REF!,0))</f>
        <v>#REF!</v>
      </c>
      <c r="CO365" s="7" t="e">
        <f>IF(#REF!="","",IF(AND($CE365&gt;0,#REF!="CLAIRETTE B"),#REF!,0))</f>
        <v>#REF!</v>
      </c>
      <c r="CP365" s="7" t="e">
        <f>IF(#REF!="","",IF(AND($CE365&gt;0,#REF!="semillon B"),#REF!,0))</f>
        <v>#REF!</v>
      </c>
      <c r="CQ365" s="7" t="e">
        <f>IF(#REF!="","",IF(CE365=0,CC365,0))</f>
        <v>#REF!</v>
      </c>
      <c r="CR365" s="17"/>
      <c r="DE365"/>
    </row>
    <row r="366" spans="81:109" x14ac:dyDescent="0.25">
      <c r="CC366" s="7" t="e">
        <f>IF(#REF!="","",IF(#REF!="PF",#REF!,0))</f>
        <v>#REF!</v>
      </c>
      <c r="CD366" s="7" t="e">
        <f>IF(#REF!="","",IF(#REF!="PF",IF((#REF!+4)&lt;YEAR(#REF!),0,#REF!),0))</f>
        <v>#REF!</v>
      </c>
      <c r="CE366" s="7" t="e">
        <f>IF(#REF!="","",IF(AND(CD366&gt;0,#REF!&lt;&gt;""),CC366,0))</f>
        <v>#REF!</v>
      </c>
      <c r="CF366" s="7" t="e">
        <f>IF(#REF!="","",IF(AND($CE366&gt;0,#REF!= "GRENACHE N"),#REF!,0))</f>
        <v>#REF!</v>
      </c>
      <c r="CG366" s="7" t="e">
        <f>IF(#REF!="","",IF(AND($CE366&gt;0,#REF!="SYRAH N"),#REF!,0))</f>
        <v>#REF!</v>
      </c>
      <c r="CH366" s="7" t="e">
        <f>IF(#REF!="","",IF(AND($CE366&gt;0,#REF!="CINSAUT N"),#REF!,0))</f>
        <v>#REF!</v>
      </c>
      <c r="CI366" s="7" t="e">
        <f>IF(#REF!="","",IF(AND($CE366&gt;0,#REF!="TIBOUREN N"),#REF!,0))</f>
        <v>#REF!</v>
      </c>
      <c r="CJ366" s="7" t="e">
        <f>IF(#REF!="","",IF(AND($CE366&gt;0,#REF!="MOURVEDRE N"),#REF!,0))</f>
        <v>#REF!</v>
      </c>
      <c r="CK366" s="7" t="e">
        <f>IF(#REF!="","",IF(AND($CE366&gt;0,#REF!="CARIGNAN N"),#REF!,0))</f>
        <v>#REF!</v>
      </c>
      <c r="CL366" s="7" t="e">
        <f>IF(#REF!="","",IF(AND($CE366&gt;0,#REF!="CABERNET SAUVIGNON N"),#REF!,0))</f>
        <v>#REF!</v>
      </c>
      <c r="CM366" s="7" t="e">
        <f>IF(#REF!="","",IF(AND($CE366&gt;0,#REF!="VERMENTINO B"),#REF!,0))</f>
        <v>#REF!</v>
      </c>
      <c r="CN366" s="7" t="e">
        <f>IF(#REF!="","",IF(AND($CE366&gt;0,#REF!="UGNI BLANC B"),#REF!,0))</f>
        <v>#REF!</v>
      </c>
      <c r="CO366" s="7" t="e">
        <f>IF(#REF!="","",IF(AND($CE366&gt;0,#REF!="CLAIRETTE B"),#REF!,0))</f>
        <v>#REF!</v>
      </c>
      <c r="CP366" s="7" t="e">
        <f>IF(#REF!="","",IF(AND($CE366&gt;0,#REF!="semillon B"),#REF!,0))</f>
        <v>#REF!</v>
      </c>
      <c r="CQ366" s="7" t="e">
        <f>IF(#REF!="","",IF(CE366=0,CC366,0))</f>
        <v>#REF!</v>
      </c>
      <c r="CR366" s="17"/>
      <c r="DE366"/>
    </row>
    <row r="367" spans="81:109" x14ac:dyDescent="0.25">
      <c r="CC367" s="7" t="e">
        <f>IF(#REF!="","",IF(#REF!="PF",#REF!,0))</f>
        <v>#REF!</v>
      </c>
      <c r="CD367" s="7" t="e">
        <f>IF(#REF!="","",IF(#REF!="PF",IF((#REF!+4)&lt;YEAR(#REF!),0,#REF!),0))</f>
        <v>#REF!</v>
      </c>
      <c r="CE367" s="7" t="e">
        <f>IF(#REF!="","",IF(AND(CD367&gt;0,#REF!&lt;&gt;""),CC367,0))</f>
        <v>#REF!</v>
      </c>
      <c r="CF367" s="7" t="e">
        <f>IF(#REF!="","",IF(AND($CE367&gt;0,#REF!= "GRENACHE N"),#REF!,0))</f>
        <v>#REF!</v>
      </c>
      <c r="CG367" s="7" t="e">
        <f>IF(#REF!="","",IF(AND($CE367&gt;0,#REF!="SYRAH N"),#REF!,0))</f>
        <v>#REF!</v>
      </c>
      <c r="CH367" s="7" t="e">
        <f>IF(#REF!="","",IF(AND($CE367&gt;0,#REF!="CINSAUT N"),#REF!,0))</f>
        <v>#REF!</v>
      </c>
      <c r="CI367" s="7" t="e">
        <f>IF(#REF!="","",IF(AND($CE367&gt;0,#REF!="TIBOUREN N"),#REF!,0))</f>
        <v>#REF!</v>
      </c>
      <c r="CJ367" s="7" t="e">
        <f>IF(#REF!="","",IF(AND($CE367&gt;0,#REF!="MOURVEDRE N"),#REF!,0))</f>
        <v>#REF!</v>
      </c>
      <c r="CK367" s="7" t="e">
        <f>IF(#REF!="","",IF(AND($CE367&gt;0,#REF!="CARIGNAN N"),#REF!,0))</f>
        <v>#REF!</v>
      </c>
      <c r="CL367" s="7" t="e">
        <f>IF(#REF!="","",IF(AND($CE367&gt;0,#REF!="CABERNET SAUVIGNON N"),#REF!,0))</f>
        <v>#REF!</v>
      </c>
      <c r="CM367" s="7" t="e">
        <f>IF(#REF!="","",IF(AND($CE367&gt;0,#REF!="VERMENTINO B"),#REF!,0))</f>
        <v>#REF!</v>
      </c>
      <c r="CN367" s="7" t="e">
        <f>IF(#REF!="","",IF(AND($CE367&gt;0,#REF!="UGNI BLANC B"),#REF!,0))</f>
        <v>#REF!</v>
      </c>
      <c r="CO367" s="7" t="e">
        <f>IF(#REF!="","",IF(AND($CE367&gt;0,#REF!="CLAIRETTE B"),#REF!,0))</f>
        <v>#REF!</v>
      </c>
      <c r="CP367" s="7" t="e">
        <f>IF(#REF!="","",IF(AND($CE367&gt;0,#REF!="semillon B"),#REF!,0))</f>
        <v>#REF!</v>
      </c>
      <c r="CQ367" s="7" t="e">
        <f>IF(#REF!="","",IF(CE367=0,CC367,0))</f>
        <v>#REF!</v>
      </c>
      <c r="CR367" s="17"/>
      <c r="DE367"/>
    </row>
    <row r="368" spans="81:109" x14ac:dyDescent="0.25">
      <c r="CC368" s="7" t="e">
        <f>IF(#REF!="","",IF(#REF!="PF",#REF!,0))</f>
        <v>#REF!</v>
      </c>
      <c r="CD368" s="7" t="e">
        <f>IF(#REF!="","",IF(#REF!="PF",IF((#REF!+4)&lt;YEAR(#REF!),0,#REF!),0))</f>
        <v>#REF!</v>
      </c>
      <c r="CE368" s="7" t="e">
        <f>IF(#REF!="","",IF(AND(CD368&gt;0,#REF!&lt;&gt;""),CC368,0))</f>
        <v>#REF!</v>
      </c>
      <c r="CF368" s="7" t="e">
        <f>IF(#REF!="","",IF(AND($CE368&gt;0,#REF!= "GRENACHE N"),#REF!,0))</f>
        <v>#REF!</v>
      </c>
      <c r="CG368" s="7" t="e">
        <f>IF(#REF!="","",IF(AND($CE368&gt;0,#REF!="SYRAH N"),#REF!,0))</f>
        <v>#REF!</v>
      </c>
      <c r="CH368" s="7" t="e">
        <f>IF(#REF!="","",IF(AND($CE368&gt;0,#REF!="CINSAUT N"),#REF!,0))</f>
        <v>#REF!</v>
      </c>
      <c r="CI368" s="7" t="e">
        <f>IF(#REF!="","",IF(AND($CE368&gt;0,#REF!="TIBOUREN N"),#REF!,0))</f>
        <v>#REF!</v>
      </c>
      <c r="CJ368" s="7" t="e">
        <f>IF(#REF!="","",IF(AND($CE368&gt;0,#REF!="MOURVEDRE N"),#REF!,0))</f>
        <v>#REF!</v>
      </c>
      <c r="CK368" s="7" t="e">
        <f>IF(#REF!="","",IF(AND($CE368&gt;0,#REF!="CARIGNAN N"),#REF!,0))</f>
        <v>#REF!</v>
      </c>
      <c r="CL368" s="7" t="e">
        <f>IF(#REF!="","",IF(AND($CE368&gt;0,#REF!="CABERNET SAUVIGNON N"),#REF!,0))</f>
        <v>#REF!</v>
      </c>
      <c r="CM368" s="7" t="e">
        <f>IF(#REF!="","",IF(AND($CE368&gt;0,#REF!="VERMENTINO B"),#REF!,0))</f>
        <v>#REF!</v>
      </c>
      <c r="CN368" s="7" t="e">
        <f>IF(#REF!="","",IF(AND($CE368&gt;0,#REF!="UGNI BLANC B"),#REF!,0))</f>
        <v>#REF!</v>
      </c>
      <c r="CO368" s="7" t="e">
        <f>IF(#REF!="","",IF(AND($CE368&gt;0,#REF!="CLAIRETTE B"),#REF!,0))</f>
        <v>#REF!</v>
      </c>
      <c r="CP368" s="7" t="e">
        <f>IF(#REF!="","",IF(AND($CE368&gt;0,#REF!="semillon B"),#REF!,0))</f>
        <v>#REF!</v>
      </c>
      <c r="CQ368" s="7" t="e">
        <f>IF(#REF!="","",IF(CE368=0,CC368,0))</f>
        <v>#REF!</v>
      </c>
      <c r="CR368" s="17"/>
      <c r="DE368"/>
    </row>
    <row r="369" spans="81:109" x14ac:dyDescent="0.25">
      <c r="CC369" s="7" t="e">
        <f>IF(#REF!="","",IF(#REF!="PF",#REF!,0))</f>
        <v>#REF!</v>
      </c>
      <c r="CD369" s="7" t="e">
        <f>IF(#REF!="","",IF(#REF!="PF",IF((#REF!+4)&lt;YEAR(#REF!),0,#REF!),0))</f>
        <v>#REF!</v>
      </c>
      <c r="CE369" s="7" t="e">
        <f>IF(#REF!="","",IF(AND(CD369&gt;0,#REF!&lt;&gt;""),CC369,0))</f>
        <v>#REF!</v>
      </c>
      <c r="CF369" s="7" t="e">
        <f>IF(#REF!="","",IF(AND($CE369&gt;0,#REF!= "GRENACHE N"),#REF!,0))</f>
        <v>#REF!</v>
      </c>
      <c r="CG369" s="7" t="e">
        <f>IF(#REF!="","",IF(AND($CE369&gt;0,#REF!="SYRAH N"),#REF!,0))</f>
        <v>#REF!</v>
      </c>
      <c r="CH369" s="7" t="e">
        <f>IF(#REF!="","",IF(AND($CE369&gt;0,#REF!="CINSAUT N"),#REF!,0))</f>
        <v>#REF!</v>
      </c>
      <c r="CI369" s="7" t="e">
        <f>IF(#REF!="","",IF(AND($CE369&gt;0,#REF!="TIBOUREN N"),#REF!,0))</f>
        <v>#REF!</v>
      </c>
      <c r="CJ369" s="7" t="e">
        <f>IF(#REF!="","",IF(AND($CE369&gt;0,#REF!="MOURVEDRE N"),#REF!,0))</f>
        <v>#REF!</v>
      </c>
      <c r="CK369" s="7" t="e">
        <f>IF(#REF!="","",IF(AND($CE369&gt;0,#REF!="CARIGNAN N"),#REF!,0))</f>
        <v>#REF!</v>
      </c>
      <c r="CL369" s="7" t="e">
        <f>IF(#REF!="","",IF(AND($CE369&gt;0,#REF!="CABERNET SAUVIGNON N"),#REF!,0))</f>
        <v>#REF!</v>
      </c>
      <c r="CM369" s="7" t="e">
        <f>IF(#REF!="","",IF(AND($CE369&gt;0,#REF!="VERMENTINO B"),#REF!,0))</f>
        <v>#REF!</v>
      </c>
      <c r="CN369" s="7" t="e">
        <f>IF(#REF!="","",IF(AND($CE369&gt;0,#REF!="UGNI BLANC B"),#REF!,0))</f>
        <v>#REF!</v>
      </c>
      <c r="CO369" s="7" t="e">
        <f>IF(#REF!="","",IF(AND($CE369&gt;0,#REF!="CLAIRETTE B"),#REF!,0))</f>
        <v>#REF!</v>
      </c>
      <c r="CP369" s="7" t="e">
        <f>IF(#REF!="","",IF(AND($CE369&gt;0,#REF!="semillon B"),#REF!,0))</f>
        <v>#REF!</v>
      </c>
      <c r="CQ369" s="7" t="e">
        <f>IF(#REF!="","",IF(CE369=0,CC369,0))</f>
        <v>#REF!</v>
      </c>
      <c r="CR369" s="17"/>
      <c r="DE369"/>
    </row>
    <row r="370" spans="81:109" x14ac:dyDescent="0.25">
      <c r="CC370" s="7" t="e">
        <f>IF(#REF!="","",IF(#REF!="PF",#REF!,0))</f>
        <v>#REF!</v>
      </c>
      <c r="CD370" s="7" t="e">
        <f>IF(#REF!="","",IF(#REF!="PF",IF((#REF!+4)&lt;YEAR(#REF!),0,#REF!),0))</f>
        <v>#REF!</v>
      </c>
      <c r="CE370" s="7" t="e">
        <f>IF(#REF!="","",IF(AND(CD370&gt;0,#REF!&lt;&gt;""),CC370,0))</f>
        <v>#REF!</v>
      </c>
      <c r="CF370" s="7" t="e">
        <f>IF(#REF!="","",IF(AND($CE370&gt;0,#REF!= "GRENACHE N"),#REF!,0))</f>
        <v>#REF!</v>
      </c>
      <c r="CG370" s="7" t="e">
        <f>IF(#REF!="","",IF(AND($CE370&gt;0,#REF!="SYRAH N"),#REF!,0))</f>
        <v>#REF!</v>
      </c>
      <c r="CH370" s="7" t="e">
        <f>IF(#REF!="","",IF(AND($CE370&gt;0,#REF!="CINSAUT N"),#REF!,0))</f>
        <v>#REF!</v>
      </c>
      <c r="CI370" s="7" t="e">
        <f>IF(#REF!="","",IF(AND($CE370&gt;0,#REF!="TIBOUREN N"),#REF!,0))</f>
        <v>#REF!</v>
      </c>
      <c r="CJ370" s="7" t="e">
        <f>IF(#REF!="","",IF(AND($CE370&gt;0,#REF!="MOURVEDRE N"),#REF!,0))</f>
        <v>#REF!</v>
      </c>
      <c r="CK370" s="7" t="e">
        <f>IF(#REF!="","",IF(AND($CE370&gt;0,#REF!="CARIGNAN N"),#REF!,0))</f>
        <v>#REF!</v>
      </c>
      <c r="CL370" s="7" t="e">
        <f>IF(#REF!="","",IF(AND($CE370&gt;0,#REF!="CABERNET SAUVIGNON N"),#REF!,0))</f>
        <v>#REF!</v>
      </c>
      <c r="CM370" s="7" t="e">
        <f>IF(#REF!="","",IF(AND($CE370&gt;0,#REF!="VERMENTINO B"),#REF!,0))</f>
        <v>#REF!</v>
      </c>
      <c r="CN370" s="7" t="e">
        <f>IF(#REF!="","",IF(AND($CE370&gt;0,#REF!="UGNI BLANC B"),#REF!,0))</f>
        <v>#REF!</v>
      </c>
      <c r="CO370" s="7" t="e">
        <f>IF(#REF!="","",IF(AND($CE370&gt;0,#REF!="CLAIRETTE B"),#REF!,0))</f>
        <v>#REF!</v>
      </c>
      <c r="CP370" s="7" t="e">
        <f>IF(#REF!="","",IF(AND($CE370&gt;0,#REF!="semillon B"),#REF!,0))</f>
        <v>#REF!</v>
      </c>
      <c r="CQ370" s="7" t="e">
        <f>IF(#REF!="","",IF(CE370=0,CC370,0))</f>
        <v>#REF!</v>
      </c>
      <c r="CR370" s="17"/>
      <c r="DE370"/>
    </row>
    <row r="371" spans="81:109" x14ac:dyDescent="0.25">
      <c r="CC371" s="7" t="e">
        <f>IF(#REF!="","",IF(#REF!="PF",#REF!,0))</f>
        <v>#REF!</v>
      </c>
      <c r="CD371" s="7" t="e">
        <f>IF(#REF!="","",IF(#REF!="PF",IF((#REF!+4)&lt;YEAR(#REF!),0,#REF!),0))</f>
        <v>#REF!</v>
      </c>
      <c r="CE371" s="7" t="e">
        <f>IF(#REF!="","",IF(AND(CD371&gt;0,#REF!&lt;&gt;""),CC371,0))</f>
        <v>#REF!</v>
      </c>
      <c r="CF371" s="7" t="e">
        <f>IF(#REF!="","",IF(AND($CE371&gt;0,#REF!= "GRENACHE N"),#REF!,0))</f>
        <v>#REF!</v>
      </c>
      <c r="CG371" s="7" t="e">
        <f>IF(#REF!="","",IF(AND($CE371&gt;0,#REF!="SYRAH N"),#REF!,0))</f>
        <v>#REF!</v>
      </c>
      <c r="CH371" s="7" t="e">
        <f>IF(#REF!="","",IF(AND($CE371&gt;0,#REF!="CINSAUT N"),#REF!,0))</f>
        <v>#REF!</v>
      </c>
      <c r="CI371" s="7" t="e">
        <f>IF(#REF!="","",IF(AND($CE371&gt;0,#REF!="TIBOUREN N"),#REF!,0))</f>
        <v>#REF!</v>
      </c>
      <c r="CJ371" s="7" t="e">
        <f>IF(#REF!="","",IF(AND($CE371&gt;0,#REF!="MOURVEDRE N"),#REF!,0))</f>
        <v>#REF!</v>
      </c>
      <c r="CK371" s="7" t="e">
        <f>IF(#REF!="","",IF(AND($CE371&gt;0,#REF!="CARIGNAN N"),#REF!,0))</f>
        <v>#REF!</v>
      </c>
      <c r="CL371" s="7" t="e">
        <f>IF(#REF!="","",IF(AND($CE371&gt;0,#REF!="CABERNET SAUVIGNON N"),#REF!,0))</f>
        <v>#REF!</v>
      </c>
      <c r="CM371" s="7" t="e">
        <f>IF(#REF!="","",IF(AND($CE371&gt;0,#REF!="VERMENTINO B"),#REF!,0))</f>
        <v>#REF!</v>
      </c>
      <c r="CN371" s="7" t="e">
        <f>IF(#REF!="","",IF(AND($CE371&gt;0,#REF!="UGNI BLANC B"),#REF!,0))</f>
        <v>#REF!</v>
      </c>
      <c r="CO371" s="7" t="e">
        <f>IF(#REF!="","",IF(AND($CE371&gt;0,#REF!="CLAIRETTE B"),#REF!,0))</f>
        <v>#REF!</v>
      </c>
      <c r="CP371" s="7" t="e">
        <f>IF(#REF!="","",IF(AND($CE371&gt;0,#REF!="semillon B"),#REF!,0))</f>
        <v>#REF!</v>
      </c>
      <c r="CQ371" s="7" t="e">
        <f>IF(#REF!="","",IF(CE371=0,CC371,0))</f>
        <v>#REF!</v>
      </c>
      <c r="CR371" s="17"/>
      <c r="DE371"/>
    </row>
    <row r="372" spans="81:109" x14ac:dyDescent="0.25">
      <c r="CC372" s="7" t="e">
        <f>IF(#REF!="","",IF(#REF!="PF",#REF!,0))</f>
        <v>#REF!</v>
      </c>
      <c r="CD372" s="7" t="e">
        <f>IF(#REF!="","",IF(#REF!="PF",IF((#REF!+4)&lt;YEAR(#REF!),0,#REF!),0))</f>
        <v>#REF!</v>
      </c>
      <c r="CE372" s="7" t="e">
        <f>IF(#REF!="","",IF(AND(CD372&gt;0,#REF!&lt;&gt;""),CC372,0))</f>
        <v>#REF!</v>
      </c>
      <c r="CF372" s="7" t="e">
        <f>IF(#REF!="","",IF(AND($CE372&gt;0,#REF!= "GRENACHE N"),#REF!,0))</f>
        <v>#REF!</v>
      </c>
      <c r="CG372" s="7" t="e">
        <f>IF(#REF!="","",IF(AND($CE372&gt;0,#REF!="SYRAH N"),#REF!,0))</f>
        <v>#REF!</v>
      </c>
      <c r="CH372" s="7" t="e">
        <f>IF(#REF!="","",IF(AND($CE372&gt;0,#REF!="CINSAUT N"),#REF!,0))</f>
        <v>#REF!</v>
      </c>
      <c r="CI372" s="7" t="e">
        <f>IF(#REF!="","",IF(AND($CE372&gt;0,#REF!="TIBOUREN N"),#REF!,0))</f>
        <v>#REF!</v>
      </c>
      <c r="CJ372" s="7" t="e">
        <f>IF(#REF!="","",IF(AND($CE372&gt;0,#REF!="MOURVEDRE N"),#REF!,0))</f>
        <v>#REF!</v>
      </c>
      <c r="CK372" s="7" t="e">
        <f>IF(#REF!="","",IF(AND($CE372&gt;0,#REF!="CARIGNAN N"),#REF!,0))</f>
        <v>#REF!</v>
      </c>
      <c r="CL372" s="7" t="e">
        <f>IF(#REF!="","",IF(AND($CE372&gt;0,#REF!="CABERNET SAUVIGNON N"),#REF!,0))</f>
        <v>#REF!</v>
      </c>
      <c r="CM372" s="7" t="e">
        <f>IF(#REF!="","",IF(AND($CE372&gt;0,#REF!="VERMENTINO B"),#REF!,0))</f>
        <v>#REF!</v>
      </c>
      <c r="CN372" s="7" t="e">
        <f>IF(#REF!="","",IF(AND($CE372&gt;0,#REF!="UGNI BLANC B"),#REF!,0))</f>
        <v>#REF!</v>
      </c>
      <c r="CO372" s="7" t="e">
        <f>IF(#REF!="","",IF(AND($CE372&gt;0,#REF!="CLAIRETTE B"),#REF!,0))</f>
        <v>#REF!</v>
      </c>
      <c r="CP372" s="7" t="e">
        <f>IF(#REF!="","",IF(AND($CE372&gt;0,#REF!="semillon B"),#REF!,0))</f>
        <v>#REF!</v>
      </c>
      <c r="CQ372" s="7" t="e">
        <f>IF(#REF!="","",IF(CE372=0,CC372,0))</f>
        <v>#REF!</v>
      </c>
      <c r="CR372" s="17"/>
      <c r="DE372"/>
    </row>
    <row r="373" spans="81:109" x14ac:dyDescent="0.25">
      <c r="CC373" s="7" t="e">
        <f>IF(#REF!="","",IF(#REF!="PF",#REF!,0))</f>
        <v>#REF!</v>
      </c>
      <c r="CD373" s="7" t="e">
        <f>IF(#REF!="","",IF(#REF!="PF",IF((#REF!+4)&lt;YEAR(#REF!),0,#REF!),0))</f>
        <v>#REF!</v>
      </c>
      <c r="CE373" s="7" t="e">
        <f>IF(#REF!="","",IF(AND(CD373&gt;0,#REF!&lt;&gt;""),CC373,0))</f>
        <v>#REF!</v>
      </c>
      <c r="CF373" s="7" t="e">
        <f>IF(#REF!="","",IF(AND($CE373&gt;0,#REF!= "GRENACHE N"),#REF!,0))</f>
        <v>#REF!</v>
      </c>
      <c r="CG373" s="7" t="e">
        <f>IF(#REF!="","",IF(AND($CE373&gt;0,#REF!="SYRAH N"),#REF!,0))</f>
        <v>#REF!</v>
      </c>
      <c r="CH373" s="7" t="e">
        <f>IF(#REF!="","",IF(AND($CE373&gt;0,#REF!="CINSAUT N"),#REF!,0))</f>
        <v>#REF!</v>
      </c>
      <c r="CI373" s="7" t="e">
        <f>IF(#REF!="","",IF(AND($CE373&gt;0,#REF!="TIBOUREN N"),#REF!,0))</f>
        <v>#REF!</v>
      </c>
      <c r="CJ373" s="7" t="e">
        <f>IF(#REF!="","",IF(AND($CE373&gt;0,#REF!="MOURVEDRE N"),#REF!,0))</f>
        <v>#REF!</v>
      </c>
      <c r="CK373" s="7" t="e">
        <f>IF(#REF!="","",IF(AND($CE373&gt;0,#REF!="CARIGNAN N"),#REF!,0))</f>
        <v>#REF!</v>
      </c>
      <c r="CL373" s="7" t="e">
        <f>IF(#REF!="","",IF(AND($CE373&gt;0,#REF!="CABERNET SAUVIGNON N"),#REF!,0))</f>
        <v>#REF!</v>
      </c>
      <c r="CM373" s="7" t="e">
        <f>IF(#REF!="","",IF(AND($CE373&gt;0,#REF!="VERMENTINO B"),#REF!,0))</f>
        <v>#REF!</v>
      </c>
      <c r="CN373" s="7" t="e">
        <f>IF(#REF!="","",IF(AND($CE373&gt;0,#REF!="UGNI BLANC B"),#REF!,0))</f>
        <v>#REF!</v>
      </c>
      <c r="CO373" s="7" t="e">
        <f>IF(#REF!="","",IF(AND($CE373&gt;0,#REF!="CLAIRETTE B"),#REF!,0))</f>
        <v>#REF!</v>
      </c>
      <c r="CP373" s="7" t="e">
        <f>IF(#REF!="","",IF(AND($CE373&gt;0,#REF!="semillon B"),#REF!,0))</f>
        <v>#REF!</v>
      </c>
      <c r="CQ373" s="7" t="e">
        <f>IF(#REF!="","",IF(CE373=0,CC373,0))</f>
        <v>#REF!</v>
      </c>
      <c r="CR373" s="17"/>
      <c r="DE373"/>
    </row>
    <row r="374" spans="81:109" x14ac:dyDescent="0.25">
      <c r="CC374" s="7" t="e">
        <f>IF(#REF!="","",IF(#REF!="PF",#REF!,0))</f>
        <v>#REF!</v>
      </c>
      <c r="CD374" s="7" t="e">
        <f>IF(#REF!="","",IF(#REF!="PF",IF((#REF!+4)&lt;YEAR(#REF!),0,#REF!),0))</f>
        <v>#REF!</v>
      </c>
      <c r="CE374" s="7" t="e">
        <f>IF(#REF!="","",IF(AND(CD374&gt;0,#REF!&lt;&gt;""),CC374,0))</f>
        <v>#REF!</v>
      </c>
      <c r="CF374" s="7" t="e">
        <f>IF(#REF!="","",IF(AND($CE374&gt;0,#REF!= "GRENACHE N"),#REF!,0))</f>
        <v>#REF!</v>
      </c>
      <c r="CG374" s="7" t="e">
        <f>IF(#REF!="","",IF(AND($CE374&gt;0,#REF!="SYRAH N"),#REF!,0))</f>
        <v>#REF!</v>
      </c>
      <c r="CH374" s="7" t="e">
        <f>IF(#REF!="","",IF(AND($CE374&gt;0,#REF!="CINSAUT N"),#REF!,0))</f>
        <v>#REF!</v>
      </c>
      <c r="CI374" s="7" t="e">
        <f>IF(#REF!="","",IF(AND($CE374&gt;0,#REF!="TIBOUREN N"),#REF!,0))</f>
        <v>#REF!</v>
      </c>
      <c r="CJ374" s="7" t="e">
        <f>IF(#REF!="","",IF(AND($CE374&gt;0,#REF!="MOURVEDRE N"),#REF!,0))</f>
        <v>#REF!</v>
      </c>
      <c r="CK374" s="7" t="e">
        <f>IF(#REF!="","",IF(AND($CE374&gt;0,#REF!="CARIGNAN N"),#REF!,0))</f>
        <v>#REF!</v>
      </c>
      <c r="CL374" s="7" t="e">
        <f>IF(#REF!="","",IF(AND($CE374&gt;0,#REF!="CABERNET SAUVIGNON N"),#REF!,0))</f>
        <v>#REF!</v>
      </c>
      <c r="CM374" s="7" t="e">
        <f>IF(#REF!="","",IF(AND($CE374&gt;0,#REF!="VERMENTINO B"),#REF!,0))</f>
        <v>#REF!</v>
      </c>
      <c r="CN374" s="7" t="e">
        <f>IF(#REF!="","",IF(AND($CE374&gt;0,#REF!="UGNI BLANC B"),#REF!,0))</f>
        <v>#REF!</v>
      </c>
      <c r="CO374" s="7" t="e">
        <f>IF(#REF!="","",IF(AND($CE374&gt;0,#REF!="CLAIRETTE B"),#REF!,0))</f>
        <v>#REF!</v>
      </c>
      <c r="CP374" s="7" t="e">
        <f>IF(#REF!="","",IF(AND($CE374&gt;0,#REF!="semillon B"),#REF!,0))</f>
        <v>#REF!</v>
      </c>
      <c r="CQ374" s="7" t="e">
        <f>IF(#REF!="","",IF(CE374=0,CC374,0))</f>
        <v>#REF!</v>
      </c>
      <c r="CR374" s="17"/>
      <c r="DE374"/>
    </row>
    <row r="375" spans="81:109" x14ac:dyDescent="0.25">
      <c r="CC375" s="7" t="e">
        <f>IF(#REF!="","",IF(#REF!="PF",#REF!,0))</f>
        <v>#REF!</v>
      </c>
      <c r="CD375" s="7" t="e">
        <f>IF(#REF!="","",IF(#REF!="PF",IF((#REF!+4)&lt;YEAR(#REF!),0,#REF!),0))</f>
        <v>#REF!</v>
      </c>
      <c r="CE375" s="7" t="e">
        <f>IF(#REF!="","",IF(AND(CD375&gt;0,#REF!&lt;&gt;""),CC375,0))</f>
        <v>#REF!</v>
      </c>
      <c r="CF375" s="7" t="e">
        <f>IF(#REF!="","",IF(AND($CE375&gt;0,#REF!= "GRENACHE N"),#REF!,0))</f>
        <v>#REF!</v>
      </c>
      <c r="CG375" s="7" t="e">
        <f>IF(#REF!="","",IF(AND($CE375&gt;0,#REF!="SYRAH N"),#REF!,0))</f>
        <v>#REF!</v>
      </c>
      <c r="CH375" s="7" t="e">
        <f>IF(#REF!="","",IF(AND($CE375&gt;0,#REF!="CINSAUT N"),#REF!,0))</f>
        <v>#REF!</v>
      </c>
      <c r="CI375" s="7" t="e">
        <f>IF(#REF!="","",IF(AND($CE375&gt;0,#REF!="TIBOUREN N"),#REF!,0))</f>
        <v>#REF!</v>
      </c>
      <c r="CJ375" s="7" t="e">
        <f>IF(#REF!="","",IF(AND($CE375&gt;0,#REF!="MOURVEDRE N"),#REF!,0))</f>
        <v>#REF!</v>
      </c>
      <c r="CK375" s="7" t="e">
        <f>IF(#REF!="","",IF(AND($CE375&gt;0,#REF!="CARIGNAN N"),#REF!,0))</f>
        <v>#REF!</v>
      </c>
      <c r="CL375" s="7" t="e">
        <f>IF(#REF!="","",IF(AND($CE375&gt;0,#REF!="CABERNET SAUVIGNON N"),#REF!,0))</f>
        <v>#REF!</v>
      </c>
      <c r="CM375" s="7" t="e">
        <f>IF(#REF!="","",IF(AND($CE375&gt;0,#REF!="VERMENTINO B"),#REF!,0))</f>
        <v>#REF!</v>
      </c>
      <c r="CN375" s="7" t="e">
        <f>IF(#REF!="","",IF(AND($CE375&gt;0,#REF!="UGNI BLANC B"),#REF!,0))</f>
        <v>#REF!</v>
      </c>
      <c r="CO375" s="7" t="e">
        <f>IF(#REF!="","",IF(AND($CE375&gt;0,#REF!="CLAIRETTE B"),#REF!,0))</f>
        <v>#REF!</v>
      </c>
      <c r="CP375" s="7" t="e">
        <f>IF(#REF!="","",IF(AND($CE375&gt;0,#REF!="semillon B"),#REF!,0))</f>
        <v>#REF!</v>
      </c>
      <c r="CQ375" s="7" t="e">
        <f>IF(#REF!="","",IF(CE375=0,CC375,0))</f>
        <v>#REF!</v>
      </c>
      <c r="CR375" s="17"/>
      <c r="DE375"/>
    </row>
    <row r="376" spans="81:109" x14ac:dyDescent="0.25">
      <c r="CC376" s="7" t="e">
        <f>IF(#REF!="","",IF(#REF!="PF",#REF!,0))</f>
        <v>#REF!</v>
      </c>
      <c r="CD376" s="7" t="e">
        <f>IF(#REF!="","",IF(#REF!="PF",IF((#REF!+4)&lt;YEAR(#REF!),0,#REF!),0))</f>
        <v>#REF!</v>
      </c>
      <c r="CE376" s="7" t="e">
        <f>IF(#REF!="","",IF(AND(CD376&gt;0,#REF!&lt;&gt;""),CC376,0))</f>
        <v>#REF!</v>
      </c>
      <c r="CF376" s="7" t="e">
        <f>IF(#REF!="","",IF(AND($CE376&gt;0,#REF!= "GRENACHE N"),#REF!,0))</f>
        <v>#REF!</v>
      </c>
      <c r="CG376" s="7" t="e">
        <f>IF(#REF!="","",IF(AND($CE376&gt;0,#REF!="SYRAH N"),#REF!,0))</f>
        <v>#REF!</v>
      </c>
      <c r="CH376" s="7" t="e">
        <f>IF(#REF!="","",IF(AND($CE376&gt;0,#REF!="CINSAUT N"),#REF!,0))</f>
        <v>#REF!</v>
      </c>
      <c r="CI376" s="7" t="e">
        <f>IF(#REF!="","",IF(AND($CE376&gt;0,#REF!="TIBOUREN N"),#REF!,0))</f>
        <v>#REF!</v>
      </c>
      <c r="CJ376" s="7" t="e">
        <f>IF(#REF!="","",IF(AND($CE376&gt;0,#REF!="MOURVEDRE N"),#REF!,0))</f>
        <v>#REF!</v>
      </c>
      <c r="CK376" s="7" t="e">
        <f>IF(#REF!="","",IF(AND($CE376&gt;0,#REF!="CARIGNAN N"),#REF!,0))</f>
        <v>#REF!</v>
      </c>
      <c r="CL376" s="7" t="e">
        <f>IF(#REF!="","",IF(AND($CE376&gt;0,#REF!="CABERNET SAUVIGNON N"),#REF!,0))</f>
        <v>#REF!</v>
      </c>
      <c r="CM376" s="7" t="e">
        <f>IF(#REF!="","",IF(AND($CE376&gt;0,#REF!="VERMENTINO B"),#REF!,0))</f>
        <v>#REF!</v>
      </c>
      <c r="CN376" s="7" t="e">
        <f>IF(#REF!="","",IF(AND($CE376&gt;0,#REF!="UGNI BLANC B"),#REF!,0))</f>
        <v>#REF!</v>
      </c>
      <c r="CO376" s="7" t="e">
        <f>IF(#REF!="","",IF(AND($CE376&gt;0,#REF!="CLAIRETTE B"),#REF!,0))</f>
        <v>#REF!</v>
      </c>
      <c r="CP376" s="7" t="e">
        <f>IF(#REF!="","",IF(AND($CE376&gt;0,#REF!="semillon B"),#REF!,0))</f>
        <v>#REF!</v>
      </c>
      <c r="CQ376" s="7" t="e">
        <f>IF(#REF!="","",IF(CE376=0,CC376,0))</f>
        <v>#REF!</v>
      </c>
      <c r="CR376" s="17"/>
      <c r="DE376"/>
    </row>
    <row r="377" spans="81:109" x14ac:dyDescent="0.25">
      <c r="CC377" s="7" t="e">
        <f>IF(#REF!="","",IF(#REF!="PF",#REF!,0))</f>
        <v>#REF!</v>
      </c>
      <c r="CD377" s="7" t="e">
        <f>IF(#REF!="","",IF(#REF!="PF",IF((#REF!+4)&lt;YEAR(#REF!),0,#REF!),0))</f>
        <v>#REF!</v>
      </c>
      <c r="CE377" s="7" t="e">
        <f>IF(#REF!="","",IF(AND(CD377&gt;0,#REF!&lt;&gt;""),CC377,0))</f>
        <v>#REF!</v>
      </c>
      <c r="CF377" s="7" t="e">
        <f>IF(#REF!="","",IF(AND($CE377&gt;0,#REF!= "GRENACHE N"),#REF!,0))</f>
        <v>#REF!</v>
      </c>
      <c r="CG377" s="7" t="e">
        <f>IF(#REF!="","",IF(AND($CE377&gt;0,#REF!="SYRAH N"),#REF!,0))</f>
        <v>#REF!</v>
      </c>
      <c r="CH377" s="7" t="e">
        <f>IF(#REF!="","",IF(AND($CE377&gt;0,#REF!="CINSAUT N"),#REF!,0))</f>
        <v>#REF!</v>
      </c>
      <c r="CI377" s="7" t="e">
        <f>IF(#REF!="","",IF(AND($CE377&gt;0,#REF!="TIBOUREN N"),#REF!,0))</f>
        <v>#REF!</v>
      </c>
      <c r="CJ377" s="7" t="e">
        <f>IF(#REF!="","",IF(AND($CE377&gt;0,#REF!="MOURVEDRE N"),#REF!,0))</f>
        <v>#REF!</v>
      </c>
      <c r="CK377" s="7" t="e">
        <f>IF(#REF!="","",IF(AND($CE377&gt;0,#REF!="CARIGNAN N"),#REF!,0))</f>
        <v>#REF!</v>
      </c>
      <c r="CL377" s="7" t="e">
        <f>IF(#REF!="","",IF(AND($CE377&gt;0,#REF!="CABERNET SAUVIGNON N"),#REF!,0))</f>
        <v>#REF!</v>
      </c>
      <c r="CM377" s="7" t="e">
        <f>IF(#REF!="","",IF(AND($CE377&gt;0,#REF!="VERMENTINO B"),#REF!,0))</f>
        <v>#REF!</v>
      </c>
      <c r="CN377" s="7" t="e">
        <f>IF(#REF!="","",IF(AND($CE377&gt;0,#REF!="UGNI BLANC B"),#REF!,0))</f>
        <v>#REF!</v>
      </c>
      <c r="CO377" s="7" t="e">
        <f>IF(#REF!="","",IF(AND($CE377&gt;0,#REF!="CLAIRETTE B"),#REF!,0))</f>
        <v>#REF!</v>
      </c>
      <c r="CP377" s="7" t="e">
        <f>IF(#REF!="","",IF(AND($CE377&gt;0,#REF!="semillon B"),#REF!,0))</f>
        <v>#REF!</v>
      </c>
      <c r="CQ377" s="7" t="e">
        <f>IF(#REF!="","",IF(CE377=0,CC377,0))</f>
        <v>#REF!</v>
      </c>
      <c r="CR377" s="17"/>
      <c r="DE377"/>
    </row>
    <row r="378" spans="81:109" x14ac:dyDescent="0.25">
      <c r="CC378" s="7" t="e">
        <f>IF(#REF!="","",IF(#REF!="PF",#REF!,0))</f>
        <v>#REF!</v>
      </c>
      <c r="CD378" s="7" t="e">
        <f>IF(#REF!="","",IF(#REF!="PF",IF((#REF!+4)&lt;YEAR(#REF!),0,#REF!),0))</f>
        <v>#REF!</v>
      </c>
      <c r="CE378" s="7" t="e">
        <f>IF(#REF!="","",IF(AND(CD378&gt;0,#REF!&lt;&gt;""),CC378,0))</f>
        <v>#REF!</v>
      </c>
      <c r="CF378" s="7" t="e">
        <f>IF(#REF!="","",IF(AND($CE378&gt;0,#REF!= "GRENACHE N"),#REF!,0))</f>
        <v>#REF!</v>
      </c>
      <c r="CG378" s="7" t="e">
        <f>IF(#REF!="","",IF(AND($CE378&gt;0,#REF!="SYRAH N"),#REF!,0))</f>
        <v>#REF!</v>
      </c>
      <c r="CH378" s="7" t="e">
        <f>IF(#REF!="","",IF(AND($CE378&gt;0,#REF!="CINSAUT N"),#REF!,0))</f>
        <v>#REF!</v>
      </c>
      <c r="CI378" s="7" t="e">
        <f>IF(#REF!="","",IF(AND($CE378&gt;0,#REF!="TIBOUREN N"),#REF!,0))</f>
        <v>#REF!</v>
      </c>
      <c r="CJ378" s="7" t="e">
        <f>IF(#REF!="","",IF(AND($CE378&gt;0,#REF!="MOURVEDRE N"),#REF!,0))</f>
        <v>#REF!</v>
      </c>
      <c r="CK378" s="7" t="e">
        <f>IF(#REF!="","",IF(AND($CE378&gt;0,#REF!="CARIGNAN N"),#REF!,0))</f>
        <v>#REF!</v>
      </c>
      <c r="CL378" s="7" t="e">
        <f>IF(#REF!="","",IF(AND($CE378&gt;0,#REF!="CABERNET SAUVIGNON N"),#REF!,0))</f>
        <v>#REF!</v>
      </c>
      <c r="CM378" s="7" t="e">
        <f>IF(#REF!="","",IF(AND($CE378&gt;0,#REF!="VERMENTINO B"),#REF!,0))</f>
        <v>#REF!</v>
      </c>
      <c r="CN378" s="7" t="e">
        <f>IF(#REF!="","",IF(AND($CE378&gt;0,#REF!="UGNI BLANC B"),#REF!,0))</f>
        <v>#REF!</v>
      </c>
      <c r="CO378" s="7" t="e">
        <f>IF(#REF!="","",IF(AND($CE378&gt;0,#REF!="CLAIRETTE B"),#REF!,0))</f>
        <v>#REF!</v>
      </c>
      <c r="CP378" s="7" t="e">
        <f>IF(#REF!="","",IF(AND($CE378&gt;0,#REF!="semillon B"),#REF!,0))</f>
        <v>#REF!</v>
      </c>
      <c r="CQ378" s="7" t="e">
        <f>IF(#REF!="","",IF(CE378=0,CC378,0))</f>
        <v>#REF!</v>
      </c>
      <c r="CR378" s="17"/>
      <c r="DE378"/>
    </row>
    <row r="379" spans="81:109" x14ac:dyDescent="0.25">
      <c r="CC379" s="7" t="e">
        <f>IF(#REF!="","",IF(#REF!="PF",#REF!,0))</f>
        <v>#REF!</v>
      </c>
      <c r="CD379" s="7" t="e">
        <f>IF(#REF!="","",IF(#REF!="PF",IF((#REF!+4)&lt;YEAR(#REF!),0,#REF!),0))</f>
        <v>#REF!</v>
      </c>
      <c r="CE379" s="7" t="e">
        <f>IF(#REF!="","",IF(AND(CD379&gt;0,#REF!&lt;&gt;""),CC379,0))</f>
        <v>#REF!</v>
      </c>
      <c r="CF379" s="7" t="e">
        <f>IF(#REF!="","",IF(AND($CE379&gt;0,#REF!= "GRENACHE N"),#REF!,0))</f>
        <v>#REF!</v>
      </c>
      <c r="CG379" s="7" t="e">
        <f>IF(#REF!="","",IF(AND($CE379&gt;0,#REF!="SYRAH N"),#REF!,0))</f>
        <v>#REF!</v>
      </c>
      <c r="CH379" s="7" t="e">
        <f>IF(#REF!="","",IF(AND($CE379&gt;0,#REF!="CINSAUT N"),#REF!,0))</f>
        <v>#REF!</v>
      </c>
      <c r="CI379" s="7" t="e">
        <f>IF(#REF!="","",IF(AND($CE379&gt;0,#REF!="TIBOUREN N"),#REF!,0))</f>
        <v>#REF!</v>
      </c>
      <c r="CJ379" s="7" t="e">
        <f>IF(#REF!="","",IF(AND($CE379&gt;0,#REF!="MOURVEDRE N"),#REF!,0))</f>
        <v>#REF!</v>
      </c>
      <c r="CK379" s="7" t="e">
        <f>IF(#REF!="","",IF(AND($CE379&gt;0,#REF!="CARIGNAN N"),#REF!,0))</f>
        <v>#REF!</v>
      </c>
      <c r="CL379" s="7" t="e">
        <f>IF(#REF!="","",IF(AND($CE379&gt;0,#REF!="CABERNET SAUVIGNON N"),#REF!,0))</f>
        <v>#REF!</v>
      </c>
      <c r="CM379" s="7" t="e">
        <f>IF(#REF!="","",IF(AND($CE379&gt;0,#REF!="VERMENTINO B"),#REF!,0))</f>
        <v>#REF!</v>
      </c>
      <c r="CN379" s="7" t="e">
        <f>IF(#REF!="","",IF(AND($CE379&gt;0,#REF!="UGNI BLANC B"),#REF!,0))</f>
        <v>#REF!</v>
      </c>
      <c r="CO379" s="7" t="e">
        <f>IF(#REF!="","",IF(AND($CE379&gt;0,#REF!="CLAIRETTE B"),#REF!,0))</f>
        <v>#REF!</v>
      </c>
      <c r="CP379" s="7" t="e">
        <f>IF(#REF!="","",IF(AND($CE379&gt;0,#REF!="semillon B"),#REF!,0))</f>
        <v>#REF!</v>
      </c>
      <c r="CQ379" s="7" t="e">
        <f>IF(#REF!="","",IF(CE379=0,CC379,0))</f>
        <v>#REF!</v>
      </c>
      <c r="CR379" s="17"/>
      <c r="DE379"/>
    </row>
    <row r="380" spans="81:109" x14ac:dyDescent="0.25">
      <c r="CC380" s="7" t="e">
        <f>IF(#REF!="","",IF(#REF!="PF",#REF!,0))</f>
        <v>#REF!</v>
      </c>
      <c r="CD380" s="7" t="e">
        <f>IF(#REF!="","",IF(#REF!="PF",IF((#REF!+4)&lt;YEAR(#REF!),0,#REF!),0))</f>
        <v>#REF!</v>
      </c>
      <c r="CE380" s="7" t="e">
        <f>IF(#REF!="","",IF(AND(CD380&gt;0,#REF!&lt;&gt;""),CC380,0))</f>
        <v>#REF!</v>
      </c>
      <c r="CF380" s="7" t="e">
        <f>IF(#REF!="","",IF(AND($CE380&gt;0,#REF!= "GRENACHE N"),#REF!,0))</f>
        <v>#REF!</v>
      </c>
      <c r="CG380" s="7" t="e">
        <f>IF(#REF!="","",IF(AND($CE380&gt;0,#REF!="SYRAH N"),#REF!,0))</f>
        <v>#REF!</v>
      </c>
      <c r="CH380" s="7" t="e">
        <f>IF(#REF!="","",IF(AND($CE380&gt;0,#REF!="CINSAUT N"),#REF!,0))</f>
        <v>#REF!</v>
      </c>
      <c r="CI380" s="7" t="e">
        <f>IF(#REF!="","",IF(AND($CE380&gt;0,#REF!="TIBOUREN N"),#REF!,0))</f>
        <v>#REF!</v>
      </c>
      <c r="CJ380" s="7" t="e">
        <f>IF(#REF!="","",IF(AND($CE380&gt;0,#REF!="MOURVEDRE N"),#REF!,0))</f>
        <v>#REF!</v>
      </c>
      <c r="CK380" s="7" t="e">
        <f>IF(#REF!="","",IF(AND($CE380&gt;0,#REF!="CARIGNAN N"),#REF!,0))</f>
        <v>#REF!</v>
      </c>
      <c r="CL380" s="7" t="e">
        <f>IF(#REF!="","",IF(AND($CE380&gt;0,#REF!="CABERNET SAUVIGNON N"),#REF!,0))</f>
        <v>#REF!</v>
      </c>
      <c r="CM380" s="7" t="e">
        <f>IF(#REF!="","",IF(AND($CE380&gt;0,#REF!="VERMENTINO B"),#REF!,0))</f>
        <v>#REF!</v>
      </c>
      <c r="CN380" s="7" t="e">
        <f>IF(#REF!="","",IF(AND($CE380&gt;0,#REF!="UGNI BLANC B"),#REF!,0))</f>
        <v>#REF!</v>
      </c>
      <c r="CO380" s="7" t="e">
        <f>IF(#REF!="","",IF(AND($CE380&gt;0,#REF!="CLAIRETTE B"),#REF!,0))</f>
        <v>#REF!</v>
      </c>
      <c r="CP380" s="7" t="e">
        <f>IF(#REF!="","",IF(AND($CE380&gt;0,#REF!="semillon B"),#REF!,0))</f>
        <v>#REF!</v>
      </c>
      <c r="CQ380" s="7" t="e">
        <f>IF(#REF!="","",IF(CE380=0,CC380,0))</f>
        <v>#REF!</v>
      </c>
      <c r="CR380" s="17"/>
      <c r="DE380"/>
    </row>
    <row r="381" spans="81:109" x14ac:dyDescent="0.25">
      <c r="CC381" s="7" t="e">
        <f>IF(#REF!="","",IF(#REF!="PF",#REF!,0))</f>
        <v>#REF!</v>
      </c>
      <c r="CD381" s="7" t="e">
        <f>IF(#REF!="","",IF(#REF!="PF",IF((#REF!+4)&lt;YEAR(#REF!),0,#REF!),0))</f>
        <v>#REF!</v>
      </c>
      <c r="CE381" s="7" t="e">
        <f>IF(#REF!="","",IF(AND(CD381&gt;0,#REF!&lt;&gt;""),CC381,0))</f>
        <v>#REF!</v>
      </c>
      <c r="CF381" s="7" t="e">
        <f>IF(#REF!="","",IF(AND($CE381&gt;0,#REF!= "GRENACHE N"),#REF!,0))</f>
        <v>#REF!</v>
      </c>
      <c r="CG381" s="7" t="e">
        <f>IF(#REF!="","",IF(AND($CE381&gt;0,#REF!="SYRAH N"),#REF!,0))</f>
        <v>#REF!</v>
      </c>
      <c r="CH381" s="7" t="e">
        <f>IF(#REF!="","",IF(AND($CE381&gt;0,#REF!="CINSAUT N"),#REF!,0))</f>
        <v>#REF!</v>
      </c>
      <c r="CI381" s="7" t="e">
        <f>IF(#REF!="","",IF(AND($CE381&gt;0,#REF!="TIBOUREN N"),#REF!,0))</f>
        <v>#REF!</v>
      </c>
      <c r="CJ381" s="7" t="e">
        <f>IF(#REF!="","",IF(AND($CE381&gt;0,#REF!="MOURVEDRE N"),#REF!,0))</f>
        <v>#REF!</v>
      </c>
      <c r="CK381" s="7" t="e">
        <f>IF(#REF!="","",IF(AND($CE381&gt;0,#REF!="CARIGNAN N"),#REF!,0))</f>
        <v>#REF!</v>
      </c>
      <c r="CL381" s="7" t="e">
        <f>IF(#REF!="","",IF(AND($CE381&gt;0,#REF!="CABERNET SAUVIGNON N"),#REF!,0))</f>
        <v>#REF!</v>
      </c>
      <c r="CM381" s="7" t="e">
        <f>IF(#REF!="","",IF(AND($CE381&gt;0,#REF!="VERMENTINO B"),#REF!,0))</f>
        <v>#REF!</v>
      </c>
      <c r="CN381" s="7" t="e">
        <f>IF(#REF!="","",IF(AND($CE381&gt;0,#REF!="UGNI BLANC B"),#REF!,0))</f>
        <v>#REF!</v>
      </c>
      <c r="CO381" s="7" t="e">
        <f>IF(#REF!="","",IF(AND($CE381&gt;0,#REF!="CLAIRETTE B"),#REF!,0))</f>
        <v>#REF!</v>
      </c>
      <c r="CP381" s="7" t="e">
        <f>IF(#REF!="","",IF(AND($CE381&gt;0,#REF!="semillon B"),#REF!,0))</f>
        <v>#REF!</v>
      </c>
      <c r="CQ381" s="7" t="e">
        <f>IF(#REF!="","",IF(CE381=0,CC381,0))</f>
        <v>#REF!</v>
      </c>
      <c r="CR381" s="17"/>
      <c r="DE381"/>
    </row>
    <row r="382" spans="81:109" x14ac:dyDescent="0.25">
      <c r="CC382" s="7" t="e">
        <f>IF(#REF!="","",IF(#REF!="PF",#REF!,0))</f>
        <v>#REF!</v>
      </c>
      <c r="CD382" s="7" t="e">
        <f>IF(#REF!="","",IF(#REF!="PF",IF((#REF!+4)&lt;YEAR(#REF!),0,#REF!),0))</f>
        <v>#REF!</v>
      </c>
      <c r="CE382" s="7" t="e">
        <f>IF(#REF!="","",IF(AND(CD382&gt;0,#REF!&lt;&gt;""),CC382,0))</f>
        <v>#REF!</v>
      </c>
      <c r="CF382" s="7" t="e">
        <f>IF(#REF!="","",IF(AND($CE382&gt;0,#REF!= "GRENACHE N"),#REF!,0))</f>
        <v>#REF!</v>
      </c>
      <c r="CG382" s="7" t="e">
        <f>IF(#REF!="","",IF(AND($CE382&gt;0,#REF!="SYRAH N"),#REF!,0))</f>
        <v>#REF!</v>
      </c>
      <c r="CH382" s="7" t="e">
        <f>IF(#REF!="","",IF(AND($CE382&gt;0,#REF!="CINSAUT N"),#REF!,0))</f>
        <v>#REF!</v>
      </c>
      <c r="CI382" s="7" t="e">
        <f>IF(#REF!="","",IF(AND($CE382&gt;0,#REF!="TIBOUREN N"),#REF!,0))</f>
        <v>#REF!</v>
      </c>
      <c r="CJ382" s="7" t="e">
        <f>IF(#REF!="","",IF(AND($CE382&gt;0,#REF!="MOURVEDRE N"),#REF!,0))</f>
        <v>#REF!</v>
      </c>
      <c r="CK382" s="7" t="e">
        <f>IF(#REF!="","",IF(AND($CE382&gt;0,#REF!="CARIGNAN N"),#REF!,0))</f>
        <v>#REF!</v>
      </c>
      <c r="CL382" s="7" t="e">
        <f>IF(#REF!="","",IF(AND($CE382&gt;0,#REF!="CABERNET SAUVIGNON N"),#REF!,0))</f>
        <v>#REF!</v>
      </c>
      <c r="CM382" s="7" t="e">
        <f>IF(#REF!="","",IF(AND($CE382&gt;0,#REF!="VERMENTINO B"),#REF!,0))</f>
        <v>#REF!</v>
      </c>
      <c r="CN382" s="7" t="e">
        <f>IF(#REF!="","",IF(AND($CE382&gt;0,#REF!="UGNI BLANC B"),#REF!,0))</f>
        <v>#REF!</v>
      </c>
      <c r="CO382" s="7" t="e">
        <f>IF(#REF!="","",IF(AND($CE382&gt;0,#REF!="CLAIRETTE B"),#REF!,0))</f>
        <v>#REF!</v>
      </c>
      <c r="CP382" s="7" t="e">
        <f>IF(#REF!="","",IF(AND($CE382&gt;0,#REF!="semillon B"),#REF!,0))</f>
        <v>#REF!</v>
      </c>
      <c r="CQ382" s="7" t="e">
        <f>IF(#REF!="","",IF(CE382=0,CC382,0))</f>
        <v>#REF!</v>
      </c>
      <c r="CR382" s="17"/>
      <c r="DE382"/>
    </row>
    <row r="383" spans="81:109" x14ac:dyDescent="0.25">
      <c r="CC383" s="7" t="e">
        <f>IF(#REF!="","",IF(#REF!="PF",#REF!,0))</f>
        <v>#REF!</v>
      </c>
      <c r="CD383" s="7" t="e">
        <f>IF(#REF!="","",IF(#REF!="PF",IF((#REF!+4)&lt;YEAR(#REF!),0,#REF!),0))</f>
        <v>#REF!</v>
      </c>
      <c r="CE383" s="7" t="e">
        <f>IF(#REF!="","",IF(AND(CD383&gt;0,#REF!&lt;&gt;""),CC383,0))</f>
        <v>#REF!</v>
      </c>
      <c r="CF383" s="7" t="e">
        <f>IF(#REF!="","",IF(AND($CE383&gt;0,#REF!= "GRENACHE N"),#REF!,0))</f>
        <v>#REF!</v>
      </c>
      <c r="CG383" s="7" t="e">
        <f>IF(#REF!="","",IF(AND($CE383&gt;0,#REF!="SYRAH N"),#REF!,0))</f>
        <v>#REF!</v>
      </c>
      <c r="CH383" s="7" t="e">
        <f>IF(#REF!="","",IF(AND($CE383&gt;0,#REF!="CINSAUT N"),#REF!,0))</f>
        <v>#REF!</v>
      </c>
      <c r="CI383" s="7" t="e">
        <f>IF(#REF!="","",IF(AND($CE383&gt;0,#REF!="TIBOUREN N"),#REF!,0))</f>
        <v>#REF!</v>
      </c>
      <c r="CJ383" s="7" t="e">
        <f>IF(#REF!="","",IF(AND($CE383&gt;0,#REF!="MOURVEDRE N"),#REF!,0))</f>
        <v>#REF!</v>
      </c>
      <c r="CK383" s="7" t="e">
        <f>IF(#REF!="","",IF(AND($CE383&gt;0,#REF!="CARIGNAN N"),#REF!,0))</f>
        <v>#REF!</v>
      </c>
      <c r="CL383" s="7" t="e">
        <f>IF(#REF!="","",IF(AND($CE383&gt;0,#REF!="CABERNET SAUVIGNON N"),#REF!,0))</f>
        <v>#REF!</v>
      </c>
      <c r="CM383" s="7" t="e">
        <f>IF(#REF!="","",IF(AND($CE383&gt;0,#REF!="VERMENTINO B"),#REF!,0))</f>
        <v>#REF!</v>
      </c>
      <c r="CN383" s="7" t="e">
        <f>IF(#REF!="","",IF(AND($CE383&gt;0,#REF!="UGNI BLANC B"),#REF!,0))</f>
        <v>#REF!</v>
      </c>
      <c r="CO383" s="7" t="e">
        <f>IF(#REF!="","",IF(AND($CE383&gt;0,#REF!="CLAIRETTE B"),#REF!,0))</f>
        <v>#REF!</v>
      </c>
      <c r="CP383" s="7" t="e">
        <f>IF(#REF!="","",IF(AND($CE383&gt;0,#REF!="semillon B"),#REF!,0))</f>
        <v>#REF!</v>
      </c>
      <c r="CQ383" s="7" t="e">
        <f>IF(#REF!="","",IF(CE383=0,CC383,0))</f>
        <v>#REF!</v>
      </c>
      <c r="CR383" s="17"/>
      <c r="DE383"/>
    </row>
    <row r="384" spans="81:109" x14ac:dyDescent="0.25">
      <c r="CC384" s="7" t="e">
        <f>IF(#REF!="","",IF(#REF!="PF",#REF!,0))</f>
        <v>#REF!</v>
      </c>
      <c r="CD384" s="7" t="e">
        <f>IF(#REF!="","",IF(#REF!="PF",IF((#REF!+4)&lt;YEAR(#REF!),0,#REF!),0))</f>
        <v>#REF!</v>
      </c>
      <c r="CE384" s="7" t="e">
        <f>IF(#REF!="","",IF(AND(CD384&gt;0,#REF!&lt;&gt;""),CC384,0))</f>
        <v>#REF!</v>
      </c>
      <c r="CF384" s="7" t="e">
        <f>IF(#REF!="","",IF(AND($CE384&gt;0,#REF!= "GRENACHE N"),#REF!,0))</f>
        <v>#REF!</v>
      </c>
      <c r="CG384" s="7" t="e">
        <f>IF(#REF!="","",IF(AND($CE384&gt;0,#REF!="SYRAH N"),#REF!,0))</f>
        <v>#REF!</v>
      </c>
      <c r="CH384" s="7" t="e">
        <f>IF(#REF!="","",IF(AND($CE384&gt;0,#REF!="CINSAUT N"),#REF!,0))</f>
        <v>#REF!</v>
      </c>
      <c r="CI384" s="7" t="e">
        <f>IF(#REF!="","",IF(AND($CE384&gt;0,#REF!="TIBOUREN N"),#REF!,0))</f>
        <v>#REF!</v>
      </c>
      <c r="CJ384" s="7" t="e">
        <f>IF(#REF!="","",IF(AND($CE384&gt;0,#REF!="MOURVEDRE N"),#REF!,0))</f>
        <v>#REF!</v>
      </c>
      <c r="CK384" s="7" t="e">
        <f>IF(#REF!="","",IF(AND($CE384&gt;0,#REF!="CARIGNAN N"),#REF!,0))</f>
        <v>#REF!</v>
      </c>
      <c r="CL384" s="7" t="e">
        <f>IF(#REF!="","",IF(AND($CE384&gt;0,#REF!="CABERNET SAUVIGNON N"),#REF!,0))</f>
        <v>#REF!</v>
      </c>
      <c r="CM384" s="7" t="e">
        <f>IF(#REF!="","",IF(AND($CE384&gt;0,#REF!="VERMENTINO B"),#REF!,0))</f>
        <v>#REF!</v>
      </c>
      <c r="CN384" s="7" t="e">
        <f>IF(#REF!="","",IF(AND($CE384&gt;0,#REF!="UGNI BLANC B"),#REF!,0))</f>
        <v>#REF!</v>
      </c>
      <c r="CO384" s="7" t="e">
        <f>IF(#REF!="","",IF(AND($CE384&gt;0,#REF!="CLAIRETTE B"),#REF!,0))</f>
        <v>#REF!</v>
      </c>
      <c r="CP384" s="7" t="e">
        <f>IF(#REF!="","",IF(AND($CE384&gt;0,#REF!="semillon B"),#REF!,0))</f>
        <v>#REF!</v>
      </c>
      <c r="CQ384" s="7" t="e">
        <f>IF(#REF!="","",IF(CE384=0,CC384,0))</f>
        <v>#REF!</v>
      </c>
      <c r="CR384" s="17"/>
      <c r="DE384"/>
    </row>
    <row r="385" spans="81:109" x14ac:dyDescent="0.25">
      <c r="CC385" s="7" t="e">
        <f>IF(#REF!="","",IF(#REF!="PF",#REF!,0))</f>
        <v>#REF!</v>
      </c>
      <c r="CD385" s="7" t="e">
        <f>IF(#REF!="","",IF(#REF!="PF",IF((#REF!+4)&lt;YEAR(#REF!),0,#REF!),0))</f>
        <v>#REF!</v>
      </c>
      <c r="CE385" s="7" t="e">
        <f>IF(#REF!="","",IF(AND(CD385&gt;0,#REF!&lt;&gt;""),CC385,0))</f>
        <v>#REF!</v>
      </c>
      <c r="CF385" s="7" t="e">
        <f>IF(#REF!="","",IF(AND($CE385&gt;0,#REF!= "GRENACHE N"),#REF!,0))</f>
        <v>#REF!</v>
      </c>
      <c r="CG385" s="7" t="e">
        <f>IF(#REF!="","",IF(AND($CE385&gt;0,#REF!="SYRAH N"),#REF!,0))</f>
        <v>#REF!</v>
      </c>
      <c r="CH385" s="7" t="e">
        <f>IF(#REF!="","",IF(AND($CE385&gt;0,#REF!="CINSAUT N"),#REF!,0))</f>
        <v>#REF!</v>
      </c>
      <c r="CI385" s="7" t="e">
        <f>IF(#REF!="","",IF(AND($CE385&gt;0,#REF!="TIBOUREN N"),#REF!,0))</f>
        <v>#REF!</v>
      </c>
      <c r="CJ385" s="7" t="e">
        <f>IF(#REF!="","",IF(AND($CE385&gt;0,#REF!="MOURVEDRE N"),#REF!,0))</f>
        <v>#REF!</v>
      </c>
      <c r="CK385" s="7" t="e">
        <f>IF(#REF!="","",IF(AND($CE385&gt;0,#REF!="CARIGNAN N"),#REF!,0))</f>
        <v>#REF!</v>
      </c>
      <c r="CL385" s="7" t="e">
        <f>IF(#REF!="","",IF(AND($CE385&gt;0,#REF!="CABERNET SAUVIGNON N"),#REF!,0))</f>
        <v>#REF!</v>
      </c>
      <c r="CM385" s="7" t="e">
        <f>IF(#REF!="","",IF(AND($CE385&gt;0,#REF!="VERMENTINO B"),#REF!,0))</f>
        <v>#REF!</v>
      </c>
      <c r="CN385" s="7" t="e">
        <f>IF(#REF!="","",IF(AND($CE385&gt;0,#REF!="UGNI BLANC B"),#REF!,0))</f>
        <v>#REF!</v>
      </c>
      <c r="CO385" s="7" t="e">
        <f>IF(#REF!="","",IF(AND($CE385&gt;0,#REF!="CLAIRETTE B"),#REF!,0))</f>
        <v>#REF!</v>
      </c>
      <c r="CP385" s="7" t="e">
        <f>IF(#REF!="","",IF(AND($CE385&gt;0,#REF!="semillon B"),#REF!,0))</f>
        <v>#REF!</v>
      </c>
      <c r="CQ385" s="7" t="e">
        <f>IF(#REF!="","",IF(CE385=0,CC385,0))</f>
        <v>#REF!</v>
      </c>
      <c r="CR385" s="17"/>
      <c r="DE385"/>
    </row>
    <row r="386" spans="81:109" x14ac:dyDescent="0.25">
      <c r="CC386" s="7" t="e">
        <f>IF(#REF!="","",IF(#REF!="PF",#REF!,0))</f>
        <v>#REF!</v>
      </c>
      <c r="CD386" s="7" t="e">
        <f>IF(#REF!="","",IF(#REF!="PF",IF((#REF!+4)&lt;YEAR(#REF!),0,#REF!),0))</f>
        <v>#REF!</v>
      </c>
      <c r="CE386" s="7" t="e">
        <f>IF(#REF!="","",IF(AND(CD386&gt;0,#REF!&lt;&gt;""),CC386,0))</f>
        <v>#REF!</v>
      </c>
      <c r="CF386" s="7" t="e">
        <f>IF(#REF!="","",IF(AND($CE386&gt;0,#REF!= "GRENACHE N"),#REF!,0))</f>
        <v>#REF!</v>
      </c>
      <c r="CG386" s="7" t="e">
        <f>IF(#REF!="","",IF(AND($CE386&gt;0,#REF!="SYRAH N"),#REF!,0))</f>
        <v>#REF!</v>
      </c>
      <c r="CH386" s="7" t="e">
        <f>IF(#REF!="","",IF(AND($CE386&gt;0,#REF!="CINSAUT N"),#REF!,0))</f>
        <v>#REF!</v>
      </c>
      <c r="CI386" s="7" t="e">
        <f>IF(#REF!="","",IF(AND($CE386&gt;0,#REF!="TIBOUREN N"),#REF!,0))</f>
        <v>#REF!</v>
      </c>
      <c r="CJ386" s="7" t="e">
        <f>IF(#REF!="","",IF(AND($CE386&gt;0,#REF!="MOURVEDRE N"),#REF!,0))</f>
        <v>#REF!</v>
      </c>
      <c r="CK386" s="7" t="e">
        <f>IF(#REF!="","",IF(AND($CE386&gt;0,#REF!="CARIGNAN N"),#REF!,0))</f>
        <v>#REF!</v>
      </c>
      <c r="CL386" s="7" t="e">
        <f>IF(#REF!="","",IF(AND($CE386&gt;0,#REF!="CABERNET SAUVIGNON N"),#REF!,0))</f>
        <v>#REF!</v>
      </c>
      <c r="CM386" s="7" t="e">
        <f>IF(#REF!="","",IF(AND($CE386&gt;0,#REF!="VERMENTINO B"),#REF!,0))</f>
        <v>#REF!</v>
      </c>
      <c r="CN386" s="7" t="e">
        <f>IF(#REF!="","",IF(AND($CE386&gt;0,#REF!="UGNI BLANC B"),#REF!,0))</f>
        <v>#REF!</v>
      </c>
      <c r="CO386" s="7" t="e">
        <f>IF(#REF!="","",IF(AND($CE386&gt;0,#REF!="CLAIRETTE B"),#REF!,0))</f>
        <v>#REF!</v>
      </c>
      <c r="CP386" s="7" t="e">
        <f>IF(#REF!="","",IF(AND($CE386&gt;0,#REF!="semillon B"),#REF!,0))</f>
        <v>#REF!</v>
      </c>
      <c r="CQ386" s="7" t="e">
        <f>IF(#REF!="","",IF(CE386=0,CC386,0))</f>
        <v>#REF!</v>
      </c>
      <c r="CR386" s="17"/>
      <c r="DE386"/>
    </row>
    <row r="387" spans="81:109" x14ac:dyDescent="0.25">
      <c r="CC387" s="7" t="e">
        <f>IF(#REF!="","",IF(#REF!="PF",#REF!,0))</f>
        <v>#REF!</v>
      </c>
      <c r="CD387" s="7" t="e">
        <f>IF(#REF!="","",IF(#REF!="PF",IF((#REF!+4)&lt;YEAR(#REF!),0,#REF!),0))</f>
        <v>#REF!</v>
      </c>
      <c r="CE387" s="7" t="e">
        <f>IF(#REF!="","",IF(AND(CD387&gt;0,#REF!&lt;&gt;""),CC387,0))</f>
        <v>#REF!</v>
      </c>
      <c r="CF387" s="7" t="e">
        <f>IF(#REF!="","",IF(AND($CE387&gt;0,#REF!= "GRENACHE N"),#REF!,0))</f>
        <v>#REF!</v>
      </c>
      <c r="CG387" s="7" t="e">
        <f>IF(#REF!="","",IF(AND($CE387&gt;0,#REF!="SYRAH N"),#REF!,0))</f>
        <v>#REF!</v>
      </c>
      <c r="CH387" s="7" t="e">
        <f>IF(#REF!="","",IF(AND($CE387&gt;0,#REF!="CINSAUT N"),#REF!,0))</f>
        <v>#REF!</v>
      </c>
      <c r="CI387" s="7" t="e">
        <f>IF(#REF!="","",IF(AND($CE387&gt;0,#REF!="TIBOUREN N"),#REF!,0))</f>
        <v>#REF!</v>
      </c>
      <c r="CJ387" s="7" t="e">
        <f>IF(#REF!="","",IF(AND($CE387&gt;0,#REF!="MOURVEDRE N"),#REF!,0))</f>
        <v>#REF!</v>
      </c>
      <c r="CK387" s="7" t="e">
        <f>IF(#REF!="","",IF(AND($CE387&gt;0,#REF!="CARIGNAN N"),#REF!,0))</f>
        <v>#REF!</v>
      </c>
      <c r="CL387" s="7" t="e">
        <f>IF(#REF!="","",IF(AND($CE387&gt;0,#REF!="CABERNET SAUVIGNON N"),#REF!,0))</f>
        <v>#REF!</v>
      </c>
      <c r="CM387" s="7" t="e">
        <f>IF(#REF!="","",IF(AND($CE387&gt;0,#REF!="VERMENTINO B"),#REF!,0))</f>
        <v>#REF!</v>
      </c>
      <c r="CN387" s="7" t="e">
        <f>IF(#REF!="","",IF(AND($CE387&gt;0,#REF!="UGNI BLANC B"),#REF!,0))</f>
        <v>#REF!</v>
      </c>
      <c r="CO387" s="7" t="e">
        <f>IF(#REF!="","",IF(AND($CE387&gt;0,#REF!="CLAIRETTE B"),#REF!,0))</f>
        <v>#REF!</v>
      </c>
      <c r="CP387" s="7" t="e">
        <f>IF(#REF!="","",IF(AND($CE387&gt;0,#REF!="semillon B"),#REF!,0))</f>
        <v>#REF!</v>
      </c>
      <c r="CQ387" s="7" t="e">
        <f>IF(#REF!="","",IF(CE387=0,CC387,0))</f>
        <v>#REF!</v>
      </c>
      <c r="CR387" s="17"/>
      <c r="DE387"/>
    </row>
    <row r="388" spans="81:109" x14ac:dyDescent="0.25">
      <c r="CC388" s="7" t="e">
        <f>IF(#REF!="","",IF(#REF!="PF",#REF!,0))</f>
        <v>#REF!</v>
      </c>
      <c r="CD388" s="7" t="e">
        <f>IF(#REF!="","",IF(#REF!="PF",IF((#REF!+4)&lt;YEAR(#REF!),0,#REF!),0))</f>
        <v>#REF!</v>
      </c>
      <c r="CE388" s="7" t="e">
        <f>IF(#REF!="","",IF(AND(CD388&gt;0,#REF!&lt;&gt;""),CC388,0))</f>
        <v>#REF!</v>
      </c>
      <c r="CF388" s="7" t="e">
        <f>IF(#REF!="","",IF(AND($CE388&gt;0,#REF!= "GRENACHE N"),#REF!,0))</f>
        <v>#REF!</v>
      </c>
      <c r="CG388" s="7" t="e">
        <f>IF(#REF!="","",IF(AND($CE388&gt;0,#REF!="SYRAH N"),#REF!,0))</f>
        <v>#REF!</v>
      </c>
      <c r="CH388" s="7" t="e">
        <f>IF(#REF!="","",IF(AND($CE388&gt;0,#REF!="CINSAUT N"),#REF!,0))</f>
        <v>#REF!</v>
      </c>
      <c r="CI388" s="7" t="e">
        <f>IF(#REF!="","",IF(AND($CE388&gt;0,#REF!="TIBOUREN N"),#REF!,0))</f>
        <v>#REF!</v>
      </c>
      <c r="CJ388" s="7" t="e">
        <f>IF(#REF!="","",IF(AND($CE388&gt;0,#REF!="MOURVEDRE N"),#REF!,0))</f>
        <v>#REF!</v>
      </c>
      <c r="CK388" s="7" t="e">
        <f>IF(#REF!="","",IF(AND($CE388&gt;0,#REF!="CARIGNAN N"),#REF!,0))</f>
        <v>#REF!</v>
      </c>
      <c r="CL388" s="7" t="e">
        <f>IF(#REF!="","",IF(AND($CE388&gt;0,#REF!="CABERNET SAUVIGNON N"),#REF!,0))</f>
        <v>#REF!</v>
      </c>
      <c r="CM388" s="7" t="e">
        <f>IF(#REF!="","",IF(AND($CE388&gt;0,#REF!="VERMENTINO B"),#REF!,0))</f>
        <v>#REF!</v>
      </c>
      <c r="CN388" s="7" t="e">
        <f>IF(#REF!="","",IF(AND($CE388&gt;0,#REF!="UGNI BLANC B"),#REF!,0))</f>
        <v>#REF!</v>
      </c>
      <c r="CO388" s="7" t="e">
        <f>IF(#REF!="","",IF(AND($CE388&gt;0,#REF!="CLAIRETTE B"),#REF!,0))</f>
        <v>#REF!</v>
      </c>
      <c r="CP388" s="7" t="e">
        <f>IF(#REF!="","",IF(AND($CE388&gt;0,#REF!="semillon B"),#REF!,0))</f>
        <v>#REF!</v>
      </c>
      <c r="CQ388" s="7" t="e">
        <f>IF(#REF!="","",IF(CE388=0,CC388,0))</f>
        <v>#REF!</v>
      </c>
      <c r="CR388" s="17"/>
      <c r="DE388"/>
    </row>
    <row r="389" spans="81:109" x14ac:dyDescent="0.25">
      <c r="CC389" s="7" t="e">
        <f>IF(#REF!="","",IF(#REF!="PF",#REF!,0))</f>
        <v>#REF!</v>
      </c>
      <c r="CD389" s="7" t="e">
        <f>IF(#REF!="","",IF(#REF!="PF",IF((#REF!+4)&lt;YEAR(#REF!),0,#REF!),0))</f>
        <v>#REF!</v>
      </c>
      <c r="CE389" s="7" t="e">
        <f>IF(#REF!="","",IF(AND(CD389&gt;0,#REF!&lt;&gt;""),CC389,0))</f>
        <v>#REF!</v>
      </c>
      <c r="CF389" s="7" t="e">
        <f>IF(#REF!="","",IF(AND($CE389&gt;0,#REF!= "GRENACHE N"),#REF!,0))</f>
        <v>#REF!</v>
      </c>
      <c r="CG389" s="7" t="e">
        <f>IF(#REF!="","",IF(AND($CE389&gt;0,#REF!="SYRAH N"),#REF!,0))</f>
        <v>#REF!</v>
      </c>
      <c r="CH389" s="7" t="e">
        <f>IF(#REF!="","",IF(AND($CE389&gt;0,#REF!="CINSAUT N"),#REF!,0))</f>
        <v>#REF!</v>
      </c>
      <c r="CI389" s="7" t="e">
        <f>IF(#REF!="","",IF(AND($CE389&gt;0,#REF!="TIBOUREN N"),#REF!,0))</f>
        <v>#REF!</v>
      </c>
      <c r="CJ389" s="7" t="e">
        <f>IF(#REF!="","",IF(AND($CE389&gt;0,#REF!="MOURVEDRE N"),#REF!,0))</f>
        <v>#REF!</v>
      </c>
      <c r="CK389" s="7" t="e">
        <f>IF(#REF!="","",IF(AND($CE389&gt;0,#REF!="CARIGNAN N"),#REF!,0))</f>
        <v>#REF!</v>
      </c>
      <c r="CL389" s="7" t="e">
        <f>IF(#REF!="","",IF(AND($CE389&gt;0,#REF!="CABERNET SAUVIGNON N"),#REF!,0))</f>
        <v>#REF!</v>
      </c>
      <c r="CM389" s="7" t="e">
        <f>IF(#REF!="","",IF(AND($CE389&gt;0,#REF!="VERMENTINO B"),#REF!,0))</f>
        <v>#REF!</v>
      </c>
      <c r="CN389" s="7" t="e">
        <f>IF(#REF!="","",IF(AND($CE389&gt;0,#REF!="UGNI BLANC B"),#REF!,0))</f>
        <v>#REF!</v>
      </c>
      <c r="CO389" s="7" t="e">
        <f>IF(#REF!="","",IF(AND($CE389&gt;0,#REF!="CLAIRETTE B"),#REF!,0))</f>
        <v>#REF!</v>
      </c>
      <c r="CP389" s="7" t="e">
        <f>IF(#REF!="","",IF(AND($CE389&gt;0,#REF!="semillon B"),#REF!,0))</f>
        <v>#REF!</v>
      </c>
      <c r="CQ389" s="7" t="e">
        <f>IF(#REF!="","",IF(CE389=0,CC389,0))</f>
        <v>#REF!</v>
      </c>
      <c r="CR389" s="17"/>
      <c r="DE389"/>
    </row>
    <row r="390" spans="81:109" x14ac:dyDescent="0.25">
      <c r="CC390" s="7" t="e">
        <f>IF(#REF!="","",IF(#REF!="PF",#REF!,0))</f>
        <v>#REF!</v>
      </c>
      <c r="CD390" s="7" t="e">
        <f>IF(#REF!="","",IF(#REF!="PF",IF((#REF!+4)&lt;YEAR(#REF!),0,#REF!),0))</f>
        <v>#REF!</v>
      </c>
      <c r="CE390" s="7" t="e">
        <f>IF(#REF!="","",IF(AND(CD390&gt;0,#REF!&lt;&gt;""),CC390,0))</f>
        <v>#REF!</v>
      </c>
      <c r="CF390" s="7" t="e">
        <f>IF(#REF!="","",IF(AND($CE390&gt;0,#REF!= "GRENACHE N"),#REF!,0))</f>
        <v>#REF!</v>
      </c>
      <c r="CG390" s="7" t="e">
        <f>IF(#REF!="","",IF(AND($CE390&gt;0,#REF!="SYRAH N"),#REF!,0))</f>
        <v>#REF!</v>
      </c>
      <c r="CH390" s="7" t="e">
        <f>IF(#REF!="","",IF(AND($CE390&gt;0,#REF!="CINSAUT N"),#REF!,0))</f>
        <v>#REF!</v>
      </c>
      <c r="CI390" s="7" t="e">
        <f>IF(#REF!="","",IF(AND($CE390&gt;0,#REF!="TIBOUREN N"),#REF!,0))</f>
        <v>#REF!</v>
      </c>
      <c r="CJ390" s="7" t="e">
        <f>IF(#REF!="","",IF(AND($CE390&gt;0,#REF!="MOURVEDRE N"),#REF!,0))</f>
        <v>#REF!</v>
      </c>
      <c r="CK390" s="7" t="e">
        <f>IF(#REF!="","",IF(AND($CE390&gt;0,#REF!="CARIGNAN N"),#REF!,0))</f>
        <v>#REF!</v>
      </c>
      <c r="CL390" s="7" t="e">
        <f>IF(#REF!="","",IF(AND($CE390&gt;0,#REF!="CABERNET SAUVIGNON N"),#REF!,0))</f>
        <v>#REF!</v>
      </c>
      <c r="CM390" s="7" t="e">
        <f>IF(#REF!="","",IF(AND($CE390&gt;0,#REF!="VERMENTINO B"),#REF!,0))</f>
        <v>#REF!</v>
      </c>
      <c r="CN390" s="7" t="e">
        <f>IF(#REF!="","",IF(AND($CE390&gt;0,#REF!="UGNI BLANC B"),#REF!,0))</f>
        <v>#REF!</v>
      </c>
      <c r="CO390" s="7" t="e">
        <f>IF(#REF!="","",IF(AND($CE390&gt;0,#REF!="CLAIRETTE B"),#REF!,0))</f>
        <v>#REF!</v>
      </c>
      <c r="CP390" s="7" t="e">
        <f>IF(#REF!="","",IF(AND($CE390&gt;0,#REF!="semillon B"),#REF!,0))</f>
        <v>#REF!</v>
      </c>
      <c r="CQ390" s="7" t="e">
        <f>IF(#REF!="","",IF(CE390=0,CC390,0))</f>
        <v>#REF!</v>
      </c>
      <c r="CR390" s="17"/>
      <c r="DE390"/>
    </row>
    <row r="391" spans="81:109" x14ac:dyDescent="0.25">
      <c r="CC391" s="7" t="e">
        <f>IF(#REF!="","",IF(#REF!="PF",#REF!,0))</f>
        <v>#REF!</v>
      </c>
      <c r="CD391" s="7" t="e">
        <f>IF(#REF!="","",IF(#REF!="PF",IF((#REF!+4)&lt;YEAR(#REF!),0,#REF!),0))</f>
        <v>#REF!</v>
      </c>
      <c r="CE391" s="7" t="e">
        <f>IF(#REF!="","",IF(AND(CD391&gt;0,#REF!&lt;&gt;""),CC391,0))</f>
        <v>#REF!</v>
      </c>
      <c r="CF391" s="7" t="e">
        <f>IF(#REF!="","",IF(AND($CE391&gt;0,#REF!= "GRENACHE N"),#REF!,0))</f>
        <v>#REF!</v>
      </c>
      <c r="CG391" s="7" t="e">
        <f>IF(#REF!="","",IF(AND($CE391&gt;0,#REF!="SYRAH N"),#REF!,0))</f>
        <v>#REF!</v>
      </c>
      <c r="CH391" s="7" t="e">
        <f>IF(#REF!="","",IF(AND($CE391&gt;0,#REF!="CINSAUT N"),#REF!,0))</f>
        <v>#REF!</v>
      </c>
      <c r="CI391" s="7" t="e">
        <f>IF(#REF!="","",IF(AND($CE391&gt;0,#REF!="TIBOUREN N"),#REF!,0))</f>
        <v>#REF!</v>
      </c>
      <c r="CJ391" s="7" t="e">
        <f>IF(#REF!="","",IF(AND($CE391&gt;0,#REF!="MOURVEDRE N"),#REF!,0))</f>
        <v>#REF!</v>
      </c>
      <c r="CK391" s="7" t="e">
        <f>IF(#REF!="","",IF(AND($CE391&gt;0,#REF!="CARIGNAN N"),#REF!,0))</f>
        <v>#REF!</v>
      </c>
      <c r="CL391" s="7" t="e">
        <f>IF(#REF!="","",IF(AND($CE391&gt;0,#REF!="CABERNET SAUVIGNON N"),#REF!,0))</f>
        <v>#REF!</v>
      </c>
      <c r="CM391" s="7" t="e">
        <f>IF(#REF!="","",IF(AND($CE391&gt;0,#REF!="VERMENTINO B"),#REF!,0))</f>
        <v>#REF!</v>
      </c>
      <c r="CN391" s="7" t="e">
        <f>IF(#REF!="","",IF(AND($CE391&gt;0,#REF!="UGNI BLANC B"),#REF!,0))</f>
        <v>#REF!</v>
      </c>
      <c r="CO391" s="7" t="e">
        <f>IF(#REF!="","",IF(AND($CE391&gt;0,#REF!="CLAIRETTE B"),#REF!,0))</f>
        <v>#REF!</v>
      </c>
      <c r="CP391" s="7" t="e">
        <f>IF(#REF!="","",IF(AND($CE391&gt;0,#REF!="semillon B"),#REF!,0))</f>
        <v>#REF!</v>
      </c>
      <c r="CQ391" s="7" t="e">
        <f>IF(#REF!="","",IF(CE391=0,CC391,0))</f>
        <v>#REF!</v>
      </c>
      <c r="CR391" s="17"/>
      <c r="DE391"/>
    </row>
    <row r="392" spans="81:109" x14ac:dyDescent="0.25">
      <c r="CC392" s="7" t="e">
        <f>IF(#REF!="","",IF(#REF!="PF",#REF!,0))</f>
        <v>#REF!</v>
      </c>
      <c r="CD392" s="7" t="e">
        <f>IF(#REF!="","",IF(#REF!="PF",IF((#REF!+4)&lt;YEAR(#REF!),0,#REF!),0))</f>
        <v>#REF!</v>
      </c>
      <c r="CE392" s="7" t="e">
        <f>IF(#REF!="","",IF(AND(CD392&gt;0,#REF!&lt;&gt;""),CC392,0))</f>
        <v>#REF!</v>
      </c>
      <c r="CF392" s="7" t="e">
        <f>IF(#REF!="","",IF(AND($CE392&gt;0,#REF!= "GRENACHE N"),#REF!,0))</f>
        <v>#REF!</v>
      </c>
      <c r="CG392" s="7" t="e">
        <f>IF(#REF!="","",IF(AND($CE392&gt;0,#REF!="SYRAH N"),#REF!,0))</f>
        <v>#REF!</v>
      </c>
      <c r="CH392" s="7" t="e">
        <f>IF(#REF!="","",IF(AND($CE392&gt;0,#REF!="CINSAUT N"),#REF!,0))</f>
        <v>#REF!</v>
      </c>
      <c r="CI392" s="7" t="e">
        <f>IF(#REF!="","",IF(AND($CE392&gt;0,#REF!="TIBOUREN N"),#REF!,0))</f>
        <v>#REF!</v>
      </c>
      <c r="CJ392" s="7" t="e">
        <f>IF(#REF!="","",IF(AND($CE392&gt;0,#REF!="MOURVEDRE N"),#REF!,0))</f>
        <v>#REF!</v>
      </c>
      <c r="CK392" s="7" t="e">
        <f>IF(#REF!="","",IF(AND($CE392&gt;0,#REF!="CARIGNAN N"),#REF!,0))</f>
        <v>#REF!</v>
      </c>
      <c r="CL392" s="7" t="e">
        <f>IF(#REF!="","",IF(AND($CE392&gt;0,#REF!="CABERNET SAUVIGNON N"),#REF!,0))</f>
        <v>#REF!</v>
      </c>
      <c r="CM392" s="7" t="e">
        <f>IF(#REF!="","",IF(AND($CE392&gt;0,#REF!="VERMENTINO B"),#REF!,0))</f>
        <v>#REF!</v>
      </c>
      <c r="CN392" s="7" t="e">
        <f>IF(#REF!="","",IF(AND($CE392&gt;0,#REF!="UGNI BLANC B"),#REF!,0))</f>
        <v>#REF!</v>
      </c>
      <c r="CO392" s="7" t="e">
        <f>IF(#REF!="","",IF(AND($CE392&gt;0,#REF!="CLAIRETTE B"),#REF!,0))</f>
        <v>#REF!</v>
      </c>
      <c r="CP392" s="7" t="e">
        <f>IF(#REF!="","",IF(AND($CE392&gt;0,#REF!="semillon B"),#REF!,0))</f>
        <v>#REF!</v>
      </c>
      <c r="CQ392" s="7" t="e">
        <f>IF(#REF!="","",IF(CE392=0,CC392,0))</f>
        <v>#REF!</v>
      </c>
      <c r="CR392" s="17"/>
      <c r="DE392"/>
    </row>
    <row r="393" spans="81:109" x14ac:dyDescent="0.25">
      <c r="CC393" s="7" t="e">
        <f>IF(#REF!="","",IF(#REF!="PF",#REF!,0))</f>
        <v>#REF!</v>
      </c>
      <c r="CD393" s="7" t="e">
        <f>IF(#REF!="","",IF(#REF!="PF",IF((#REF!+4)&lt;YEAR(#REF!),0,#REF!),0))</f>
        <v>#REF!</v>
      </c>
      <c r="CE393" s="7" t="e">
        <f>IF(#REF!="","",IF(AND(CD393&gt;0,#REF!&lt;&gt;""),CC393,0))</f>
        <v>#REF!</v>
      </c>
      <c r="CF393" s="7" t="e">
        <f>IF(#REF!="","",IF(AND($CE393&gt;0,#REF!= "GRENACHE N"),#REF!,0))</f>
        <v>#REF!</v>
      </c>
      <c r="CG393" s="7" t="e">
        <f>IF(#REF!="","",IF(AND($CE393&gt;0,#REF!="SYRAH N"),#REF!,0))</f>
        <v>#REF!</v>
      </c>
      <c r="CH393" s="7" t="e">
        <f>IF(#REF!="","",IF(AND($CE393&gt;0,#REF!="CINSAUT N"),#REF!,0))</f>
        <v>#REF!</v>
      </c>
      <c r="CI393" s="7" t="e">
        <f>IF(#REF!="","",IF(AND($CE393&gt;0,#REF!="TIBOUREN N"),#REF!,0))</f>
        <v>#REF!</v>
      </c>
      <c r="CJ393" s="7" t="e">
        <f>IF(#REF!="","",IF(AND($CE393&gt;0,#REF!="MOURVEDRE N"),#REF!,0))</f>
        <v>#REF!</v>
      </c>
      <c r="CK393" s="7" t="e">
        <f>IF(#REF!="","",IF(AND($CE393&gt;0,#REF!="CARIGNAN N"),#REF!,0))</f>
        <v>#REF!</v>
      </c>
      <c r="CL393" s="7" t="e">
        <f>IF(#REF!="","",IF(AND($CE393&gt;0,#REF!="CABERNET SAUVIGNON N"),#REF!,0))</f>
        <v>#REF!</v>
      </c>
      <c r="CM393" s="7" t="e">
        <f>IF(#REF!="","",IF(AND($CE393&gt;0,#REF!="VERMENTINO B"),#REF!,0))</f>
        <v>#REF!</v>
      </c>
      <c r="CN393" s="7" t="e">
        <f>IF(#REF!="","",IF(AND($CE393&gt;0,#REF!="UGNI BLANC B"),#REF!,0))</f>
        <v>#REF!</v>
      </c>
      <c r="CO393" s="7" t="e">
        <f>IF(#REF!="","",IF(AND($CE393&gt;0,#REF!="CLAIRETTE B"),#REF!,0))</f>
        <v>#REF!</v>
      </c>
      <c r="CP393" s="7" t="e">
        <f>IF(#REF!="","",IF(AND($CE393&gt;0,#REF!="semillon B"),#REF!,0))</f>
        <v>#REF!</v>
      </c>
      <c r="CQ393" s="7" t="e">
        <f>IF(#REF!="","",IF(CE393=0,CC393,0))</f>
        <v>#REF!</v>
      </c>
      <c r="CR393" s="17"/>
      <c r="DE393"/>
    </row>
    <row r="394" spans="81:109" x14ac:dyDescent="0.25">
      <c r="CC394" s="7" t="e">
        <f>IF(#REF!="","",IF(#REF!="PF",#REF!,0))</f>
        <v>#REF!</v>
      </c>
      <c r="CD394" s="7" t="e">
        <f>IF(#REF!="","",IF(#REF!="PF",IF((#REF!+4)&lt;YEAR(#REF!),0,#REF!),0))</f>
        <v>#REF!</v>
      </c>
      <c r="CE394" s="7" t="e">
        <f>IF(#REF!="","",IF(AND(CD394&gt;0,#REF!&lt;&gt;""),CC394,0))</f>
        <v>#REF!</v>
      </c>
      <c r="CF394" s="7" t="e">
        <f>IF(#REF!="","",IF(AND($CE394&gt;0,#REF!= "GRENACHE N"),#REF!,0))</f>
        <v>#REF!</v>
      </c>
      <c r="CG394" s="7" t="e">
        <f>IF(#REF!="","",IF(AND($CE394&gt;0,#REF!="SYRAH N"),#REF!,0))</f>
        <v>#REF!</v>
      </c>
      <c r="CH394" s="7" t="e">
        <f>IF(#REF!="","",IF(AND($CE394&gt;0,#REF!="CINSAUT N"),#REF!,0))</f>
        <v>#REF!</v>
      </c>
      <c r="CI394" s="7" t="e">
        <f>IF(#REF!="","",IF(AND($CE394&gt;0,#REF!="TIBOUREN N"),#REF!,0))</f>
        <v>#REF!</v>
      </c>
      <c r="CJ394" s="7" t="e">
        <f>IF(#REF!="","",IF(AND($CE394&gt;0,#REF!="MOURVEDRE N"),#REF!,0))</f>
        <v>#REF!</v>
      </c>
      <c r="CK394" s="7" t="e">
        <f>IF(#REF!="","",IF(AND($CE394&gt;0,#REF!="CARIGNAN N"),#REF!,0))</f>
        <v>#REF!</v>
      </c>
      <c r="CL394" s="7" t="e">
        <f>IF(#REF!="","",IF(AND($CE394&gt;0,#REF!="CABERNET SAUVIGNON N"),#REF!,0))</f>
        <v>#REF!</v>
      </c>
      <c r="CM394" s="7" t="e">
        <f>IF(#REF!="","",IF(AND($CE394&gt;0,#REF!="VERMENTINO B"),#REF!,0))</f>
        <v>#REF!</v>
      </c>
      <c r="CN394" s="7" t="e">
        <f>IF(#REF!="","",IF(AND($CE394&gt;0,#REF!="UGNI BLANC B"),#REF!,0))</f>
        <v>#REF!</v>
      </c>
      <c r="CO394" s="7" t="e">
        <f>IF(#REF!="","",IF(AND($CE394&gt;0,#REF!="CLAIRETTE B"),#REF!,0))</f>
        <v>#REF!</v>
      </c>
      <c r="CP394" s="7" t="e">
        <f>IF(#REF!="","",IF(AND($CE394&gt;0,#REF!="semillon B"),#REF!,0))</f>
        <v>#REF!</v>
      </c>
      <c r="CQ394" s="7" t="e">
        <f>IF(#REF!="","",IF(CE394=0,CC394,0))</f>
        <v>#REF!</v>
      </c>
      <c r="CR394" s="17"/>
      <c r="DE394"/>
    </row>
    <row r="395" spans="81:109" x14ac:dyDescent="0.25">
      <c r="CC395" s="7" t="e">
        <f>IF(#REF!="","",IF(#REF!="PF",#REF!,0))</f>
        <v>#REF!</v>
      </c>
      <c r="CD395" s="7" t="e">
        <f>IF(#REF!="","",IF(#REF!="PF",IF((#REF!+4)&lt;YEAR(#REF!),0,#REF!),0))</f>
        <v>#REF!</v>
      </c>
      <c r="CE395" s="7" t="e">
        <f>IF(#REF!="","",IF(AND(CD395&gt;0,#REF!&lt;&gt;""),CC395,0))</f>
        <v>#REF!</v>
      </c>
      <c r="CF395" s="7" t="e">
        <f>IF(#REF!="","",IF(AND($CE395&gt;0,#REF!= "GRENACHE N"),#REF!,0))</f>
        <v>#REF!</v>
      </c>
      <c r="CG395" s="7" t="e">
        <f>IF(#REF!="","",IF(AND($CE395&gt;0,#REF!="SYRAH N"),#REF!,0))</f>
        <v>#REF!</v>
      </c>
      <c r="CH395" s="7" t="e">
        <f>IF(#REF!="","",IF(AND($CE395&gt;0,#REF!="CINSAUT N"),#REF!,0))</f>
        <v>#REF!</v>
      </c>
      <c r="CI395" s="7" t="e">
        <f>IF(#REF!="","",IF(AND($CE395&gt;0,#REF!="TIBOUREN N"),#REF!,0))</f>
        <v>#REF!</v>
      </c>
      <c r="CJ395" s="7" t="e">
        <f>IF(#REF!="","",IF(AND($CE395&gt;0,#REF!="MOURVEDRE N"),#REF!,0))</f>
        <v>#REF!</v>
      </c>
      <c r="CK395" s="7" t="e">
        <f>IF(#REF!="","",IF(AND($CE395&gt;0,#REF!="CARIGNAN N"),#REF!,0))</f>
        <v>#REF!</v>
      </c>
      <c r="CL395" s="7" t="e">
        <f>IF(#REF!="","",IF(AND($CE395&gt;0,#REF!="CABERNET SAUVIGNON N"),#REF!,0))</f>
        <v>#REF!</v>
      </c>
      <c r="CM395" s="7" t="e">
        <f>IF(#REF!="","",IF(AND($CE395&gt;0,#REF!="VERMENTINO B"),#REF!,0))</f>
        <v>#REF!</v>
      </c>
      <c r="CN395" s="7" t="e">
        <f>IF(#REF!="","",IF(AND($CE395&gt;0,#REF!="UGNI BLANC B"),#REF!,0))</f>
        <v>#REF!</v>
      </c>
      <c r="CO395" s="7" t="e">
        <f>IF(#REF!="","",IF(AND($CE395&gt;0,#REF!="CLAIRETTE B"),#REF!,0))</f>
        <v>#REF!</v>
      </c>
      <c r="CP395" s="7" t="e">
        <f>IF(#REF!="","",IF(AND($CE395&gt;0,#REF!="semillon B"),#REF!,0))</f>
        <v>#REF!</v>
      </c>
      <c r="CQ395" s="7" t="e">
        <f>IF(#REF!="","",IF(CE395=0,CC395,0))</f>
        <v>#REF!</v>
      </c>
      <c r="CR395" s="17"/>
      <c r="DE395"/>
    </row>
    <row r="396" spans="81:109" x14ac:dyDescent="0.25">
      <c r="CC396" s="7" t="e">
        <f>IF(#REF!="","",IF(#REF!="PF",#REF!,0))</f>
        <v>#REF!</v>
      </c>
      <c r="CD396" s="7" t="e">
        <f>IF(#REF!="","",IF(#REF!="PF",IF((#REF!+4)&lt;YEAR(#REF!),0,#REF!),0))</f>
        <v>#REF!</v>
      </c>
      <c r="CE396" s="7" t="e">
        <f>IF(#REF!="","",IF(AND(CD396&gt;0,#REF!&lt;&gt;""),CC396,0))</f>
        <v>#REF!</v>
      </c>
      <c r="CF396" s="7" t="e">
        <f>IF(#REF!="","",IF(AND($CE396&gt;0,#REF!= "GRENACHE N"),#REF!,0))</f>
        <v>#REF!</v>
      </c>
      <c r="CG396" s="7" t="e">
        <f>IF(#REF!="","",IF(AND($CE396&gt;0,#REF!="SYRAH N"),#REF!,0))</f>
        <v>#REF!</v>
      </c>
      <c r="CH396" s="7" t="e">
        <f>IF(#REF!="","",IF(AND($CE396&gt;0,#REF!="CINSAUT N"),#REF!,0))</f>
        <v>#REF!</v>
      </c>
      <c r="CI396" s="7" t="e">
        <f>IF(#REF!="","",IF(AND($CE396&gt;0,#REF!="TIBOUREN N"),#REF!,0))</f>
        <v>#REF!</v>
      </c>
      <c r="CJ396" s="7" t="e">
        <f>IF(#REF!="","",IF(AND($CE396&gt;0,#REF!="MOURVEDRE N"),#REF!,0))</f>
        <v>#REF!</v>
      </c>
      <c r="CK396" s="7" t="e">
        <f>IF(#REF!="","",IF(AND($CE396&gt;0,#REF!="CARIGNAN N"),#REF!,0))</f>
        <v>#REF!</v>
      </c>
      <c r="CL396" s="7" t="e">
        <f>IF(#REF!="","",IF(AND($CE396&gt;0,#REF!="CABERNET SAUVIGNON N"),#REF!,0))</f>
        <v>#REF!</v>
      </c>
      <c r="CM396" s="7" t="e">
        <f>IF(#REF!="","",IF(AND($CE396&gt;0,#REF!="VERMENTINO B"),#REF!,0))</f>
        <v>#REF!</v>
      </c>
      <c r="CN396" s="7" t="e">
        <f>IF(#REF!="","",IF(AND($CE396&gt;0,#REF!="UGNI BLANC B"),#REF!,0))</f>
        <v>#REF!</v>
      </c>
      <c r="CO396" s="7" t="e">
        <f>IF(#REF!="","",IF(AND($CE396&gt;0,#REF!="CLAIRETTE B"),#REF!,0))</f>
        <v>#REF!</v>
      </c>
      <c r="CP396" s="7" t="e">
        <f>IF(#REF!="","",IF(AND($CE396&gt;0,#REF!="semillon B"),#REF!,0))</f>
        <v>#REF!</v>
      </c>
      <c r="CQ396" s="7" t="e">
        <f>IF(#REF!="","",IF(CE396=0,CC396,0))</f>
        <v>#REF!</v>
      </c>
      <c r="CR396" s="17"/>
      <c r="DE396"/>
    </row>
    <row r="397" spans="81:109" x14ac:dyDescent="0.25">
      <c r="CC397" s="7" t="e">
        <f>IF(#REF!="","",IF(#REF!="PF",#REF!,0))</f>
        <v>#REF!</v>
      </c>
      <c r="CD397" s="7" t="e">
        <f>IF(#REF!="","",IF(#REF!="PF",IF((#REF!+4)&lt;YEAR(#REF!),0,#REF!),0))</f>
        <v>#REF!</v>
      </c>
      <c r="CE397" s="7" t="e">
        <f>IF(#REF!="","",IF(AND(CD397&gt;0,#REF!&lt;&gt;""),CC397,0))</f>
        <v>#REF!</v>
      </c>
      <c r="CF397" s="7" t="e">
        <f>IF(#REF!="","",IF(AND($CE397&gt;0,#REF!= "GRENACHE N"),#REF!,0))</f>
        <v>#REF!</v>
      </c>
      <c r="CG397" s="7" t="e">
        <f>IF(#REF!="","",IF(AND($CE397&gt;0,#REF!="SYRAH N"),#REF!,0))</f>
        <v>#REF!</v>
      </c>
      <c r="CH397" s="7" t="e">
        <f>IF(#REF!="","",IF(AND($CE397&gt;0,#REF!="CINSAUT N"),#REF!,0))</f>
        <v>#REF!</v>
      </c>
      <c r="CI397" s="7" t="e">
        <f>IF(#REF!="","",IF(AND($CE397&gt;0,#REF!="TIBOUREN N"),#REF!,0))</f>
        <v>#REF!</v>
      </c>
      <c r="CJ397" s="7" t="e">
        <f>IF(#REF!="","",IF(AND($CE397&gt;0,#REF!="MOURVEDRE N"),#REF!,0))</f>
        <v>#REF!</v>
      </c>
      <c r="CK397" s="7" t="e">
        <f>IF(#REF!="","",IF(AND($CE397&gt;0,#REF!="CARIGNAN N"),#REF!,0))</f>
        <v>#REF!</v>
      </c>
      <c r="CL397" s="7" t="e">
        <f>IF(#REF!="","",IF(AND($CE397&gt;0,#REF!="CABERNET SAUVIGNON N"),#REF!,0))</f>
        <v>#REF!</v>
      </c>
      <c r="CM397" s="7" t="e">
        <f>IF(#REF!="","",IF(AND($CE397&gt;0,#REF!="VERMENTINO B"),#REF!,0))</f>
        <v>#REF!</v>
      </c>
      <c r="CN397" s="7" t="e">
        <f>IF(#REF!="","",IF(AND($CE397&gt;0,#REF!="UGNI BLANC B"),#REF!,0))</f>
        <v>#REF!</v>
      </c>
      <c r="CO397" s="7" t="e">
        <f>IF(#REF!="","",IF(AND($CE397&gt;0,#REF!="CLAIRETTE B"),#REF!,0))</f>
        <v>#REF!</v>
      </c>
      <c r="CP397" s="7" t="e">
        <f>IF(#REF!="","",IF(AND($CE397&gt;0,#REF!="semillon B"),#REF!,0))</f>
        <v>#REF!</v>
      </c>
      <c r="CQ397" s="7" t="e">
        <f>IF(#REF!="","",IF(CE397=0,CC397,0))</f>
        <v>#REF!</v>
      </c>
      <c r="CR397" s="17"/>
      <c r="DE397"/>
    </row>
    <row r="398" spans="81:109" x14ac:dyDescent="0.25">
      <c r="CC398" s="7" t="e">
        <f>IF(#REF!="","",IF(#REF!="PF",#REF!,0))</f>
        <v>#REF!</v>
      </c>
      <c r="CD398" s="7" t="e">
        <f>IF(#REF!="","",IF(#REF!="PF",IF((#REF!+4)&lt;YEAR(#REF!),0,#REF!),0))</f>
        <v>#REF!</v>
      </c>
      <c r="CE398" s="7" t="e">
        <f>IF(#REF!="","",IF(AND(CD398&gt;0,#REF!&lt;&gt;""),CC398,0))</f>
        <v>#REF!</v>
      </c>
      <c r="CF398" s="7" t="e">
        <f>IF(#REF!="","",IF(AND($CE398&gt;0,#REF!= "GRENACHE N"),#REF!,0))</f>
        <v>#REF!</v>
      </c>
      <c r="CG398" s="7" t="e">
        <f>IF(#REF!="","",IF(AND($CE398&gt;0,#REF!="SYRAH N"),#REF!,0))</f>
        <v>#REF!</v>
      </c>
      <c r="CH398" s="7" t="e">
        <f>IF(#REF!="","",IF(AND($CE398&gt;0,#REF!="CINSAUT N"),#REF!,0))</f>
        <v>#REF!</v>
      </c>
      <c r="CI398" s="7" t="e">
        <f>IF(#REF!="","",IF(AND($CE398&gt;0,#REF!="TIBOUREN N"),#REF!,0))</f>
        <v>#REF!</v>
      </c>
      <c r="CJ398" s="7" t="e">
        <f>IF(#REF!="","",IF(AND($CE398&gt;0,#REF!="MOURVEDRE N"),#REF!,0))</f>
        <v>#REF!</v>
      </c>
      <c r="CK398" s="7" t="e">
        <f>IF(#REF!="","",IF(AND($CE398&gt;0,#REF!="CARIGNAN N"),#REF!,0))</f>
        <v>#REF!</v>
      </c>
      <c r="CL398" s="7" t="e">
        <f>IF(#REF!="","",IF(AND($CE398&gt;0,#REF!="CABERNET SAUVIGNON N"),#REF!,0))</f>
        <v>#REF!</v>
      </c>
      <c r="CM398" s="7" t="e">
        <f>IF(#REF!="","",IF(AND($CE398&gt;0,#REF!="VERMENTINO B"),#REF!,0))</f>
        <v>#REF!</v>
      </c>
      <c r="CN398" s="7" t="e">
        <f>IF(#REF!="","",IF(AND($CE398&gt;0,#REF!="UGNI BLANC B"),#REF!,0))</f>
        <v>#REF!</v>
      </c>
      <c r="CO398" s="7" t="e">
        <f>IF(#REF!="","",IF(AND($CE398&gt;0,#REF!="CLAIRETTE B"),#REF!,0))</f>
        <v>#REF!</v>
      </c>
      <c r="CP398" s="7" t="e">
        <f>IF(#REF!="","",IF(AND($CE398&gt;0,#REF!="semillon B"),#REF!,0))</f>
        <v>#REF!</v>
      </c>
      <c r="CQ398" s="7" t="e">
        <f>IF(#REF!="","",IF(CE398=0,CC398,0))</f>
        <v>#REF!</v>
      </c>
      <c r="CR398" s="17"/>
      <c r="DE398"/>
    </row>
    <row r="399" spans="81:109" x14ac:dyDescent="0.25">
      <c r="CC399" s="7" t="e">
        <f>IF(#REF!="","",IF(#REF!="PF",#REF!,0))</f>
        <v>#REF!</v>
      </c>
      <c r="CD399" s="7" t="e">
        <f>IF(#REF!="","",IF(#REF!="PF",IF((#REF!+4)&lt;YEAR(#REF!),0,#REF!),0))</f>
        <v>#REF!</v>
      </c>
      <c r="CE399" s="7" t="e">
        <f>IF(#REF!="","",IF(AND(CD399&gt;0,#REF!&lt;&gt;""),CC399,0))</f>
        <v>#REF!</v>
      </c>
      <c r="CF399" s="7" t="e">
        <f>IF(#REF!="","",IF(AND($CE399&gt;0,#REF!= "GRENACHE N"),#REF!,0))</f>
        <v>#REF!</v>
      </c>
      <c r="CG399" s="7" t="e">
        <f>IF(#REF!="","",IF(AND($CE399&gt;0,#REF!="SYRAH N"),#REF!,0))</f>
        <v>#REF!</v>
      </c>
      <c r="CH399" s="7" t="e">
        <f>IF(#REF!="","",IF(AND($CE399&gt;0,#REF!="CINSAUT N"),#REF!,0))</f>
        <v>#REF!</v>
      </c>
      <c r="CI399" s="7" t="e">
        <f>IF(#REF!="","",IF(AND($CE399&gt;0,#REF!="TIBOUREN N"),#REF!,0))</f>
        <v>#REF!</v>
      </c>
      <c r="CJ399" s="7" t="e">
        <f>IF(#REF!="","",IF(AND($CE399&gt;0,#REF!="MOURVEDRE N"),#REF!,0))</f>
        <v>#REF!</v>
      </c>
      <c r="CK399" s="7" t="e">
        <f>IF(#REF!="","",IF(AND($CE399&gt;0,#REF!="CARIGNAN N"),#REF!,0))</f>
        <v>#REF!</v>
      </c>
      <c r="CL399" s="7" t="e">
        <f>IF(#REF!="","",IF(AND($CE399&gt;0,#REF!="CABERNET SAUVIGNON N"),#REF!,0))</f>
        <v>#REF!</v>
      </c>
      <c r="CM399" s="7" t="e">
        <f>IF(#REF!="","",IF(AND($CE399&gt;0,#REF!="VERMENTINO B"),#REF!,0))</f>
        <v>#REF!</v>
      </c>
      <c r="CN399" s="7" t="e">
        <f>IF(#REF!="","",IF(AND($CE399&gt;0,#REF!="UGNI BLANC B"),#REF!,0))</f>
        <v>#REF!</v>
      </c>
      <c r="CO399" s="7" t="e">
        <f>IF(#REF!="","",IF(AND($CE399&gt;0,#REF!="CLAIRETTE B"),#REF!,0))</f>
        <v>#REF!</v>
      </c>
      <c r="CP399" s="7" t="e">
        <f>IF(#REF!="","",IF(AND($CE399&gt;0,#REF!="semillon B"),#REF!,0))</f>
        <v>#REF!</v>
      </c>
      <c r="CQ399" s="7" t="e">
        <f>IF(#REF!="","",IF(CE399=0,CC399,0))</f>
        <v>#REF!</v>
      </c>
      <c r="CR399" s="17"/>
      <c r="DE399"/>
    </row>
    <row r="400" spans="81:109" x14ac:dyDescent="0.25">
      <c r="CC400" s="7" t="e">
        <f>IF(#REF!="","",IF(#REF!="PF",#REF!,0))</f>
        <v>#REF!</v>
      </c>
      <c r="CD400" s="7" t="e">
        <f>IF(#REF!="","",IF(#REF!="PF",IF((#REF!+4)&lt;YEAR(#REF!),0,#REF!),0))</f>
        <v>#REF!</v>
      </c>
      <c r="CE400" s="7" t="e">
        <f>IF(#REF!="","",IF(AND(CD400&gt;0,#REF!&lt;&gt;""),CC400,0))</f>
        <v>#REF!</v>
      </c>
      <c r="CF400" s="7" t="e">
        <f>IF(#REF!="","",IF(AND($CE400&gt;0,#REF!= "GRENACHE N"),#REF!,0))</f>
        <v>#REF!</v>
      </c>
      <c r="CG400" s="7" t="e">
        <f>IF(#REF!="","",IF(AND($CE400&gt;0,#REF!="SYRAH N"),#REF!,0))</f>
        <v>#REF!</v>
      </c>
      <c r="CH400" s="7" t="e">
        <f>IF(#REF!="","",IF(AND($CE400&gt;0,#REF!="CINSAUT N"),#REF!,0))</f>
        <v>#REF!</v>
      </c>
      <c r="CI400" s="7" t="e">
        <f>IF(#REF!="","",IF(AND($CE400&gt;0,#REF!="TIBOUREN N"),#REF!,0))</f>
        <v>#REF!</v>
      </c>
      <c r="CJ400" s="7" t="e">
        <f>IF(#REF!="","",IF(AND($CE400&gt;0,#REF!="MOURVEDRE N"),#REF!,0))</f>
        <v>#REF!</v>
      </c>
      <c r="CK400" s="7" t="e">
        <f>IF(#REF!="","",IF(AND($CE400&gt;0,#REF!="CARIGNAN N"),#REF!,0))</f>
        <v>#REF!</v>
      </c>
      <c r="CL400" s="7" t="e">
        <f>IF(#REF!="","",IF(AND($CE400&gt;0,#REF!="CABERNET SAUVIGNON N"),#REF!,0))</f>
        <v>#REF!</v>
      </c>
      <c r="CM400" s="7" t="e">
        <f>IF(#REF!="","",IF(AND($CE400&gt;0,#REF!="VERMENTINO B"),#REF!,0))</f>
        <v>#REF!</v>
      </c>
      <c r="CN400" s="7" t="e">
        <f>IF(#REF!="","",IF(AND($CE400&gt;0,#REF!="UGNI BLANC B"),#REF!,0))</f>
        <v>#REF!</v>
      </c>
      <c r="CO400" s="7" t="e">
        <f>IF(#REF!="","",IF(AND($CE400&gt;0,#REF!="CLAIRETTE B"),#REF!,0))</f>
        <v>#REF!</v>
      </c>
      <c r="CP400" s="7" t="e">
        <f>IF(#REF!="","",IF(AND($CE400&gt;0,#REF!="semillon B"),#REF!,0))</f>
        <v>#REF!</v>
      </c>
      <c r="CQ400" s="7" t="e">
        <f>IF(#REF!="","",IF(CE400=0,CC400,0))</f>
        <v>#REF!</v>
      </c>
      <c r="CR400" s="17"/>
      <c r="DE400"/>
    </row>
    <row r="401" spans="81:109" x14ac:dyDescent="0.25">
      <c r="CC401" s="7" t="e">
        <f>IF(#REF!="","",IF(#REF!="PF",#REF!,0))</f>
        <v>#REF!</v>
      </c>
      <c r="CD401" s="7" t="e">
        <f>IF(#REF!="","",IF(#REF!="PF",IF((#REF!+4)&lt;YEAR(#REF!),0,#REF!),0))</f>
        <v>#REF!</v>
      </c>
      <c r="CE401" s="7" t="e">
        <f>IF(#REF!="","",IF(AND(CD401&gt;0,#REF!&lt;&gt;""),CC401,0))</f>
        <v>#REF!</v>
      </c>
      <c r="CF401" s="7" t="e">
        <f>IF(#REF!="","",IF(AND($CE401&gt;0,#REF!= "GRENACHE N"),#REF!,0))</f>
        <v>#REF!</v>
      </c>
      <c r="CG401" s="7" t="e">
        <f>IF(#REF!="","",IF(AND($CE401&gt;0,#REF!="SYRAH N"),#REF!,0))</f>
        <v>#REF!</v>
      </c>
      <c r="CH401" s="7" t="e">
        <f>IF(#REF!="","",IF(AND($CE401&gt;0,#REF!="CINSAUT N"),#REF!,0))</f>
        <v>#REF!</v>
      </c>
      <c r="CI401" s="7" t="e">
        <f>IF(#REF!="","",IF(AND($CE401&gt;0,#REF!="TIBOUREN N"),#REF!,0))</f>
        <v>#REF!</v>
      </c>
      <c r="CJ401" s="7" t="e">
        <f>IF(#REF!="","",IF(AND($CE401&gt;0,#REF!="MOURVEDRE N"),#REF!,0))</f>
        <v>#REF!</v>
      </c>
      <c r="CK401" s="7" t="e">
        <f>IF(#REF!="","",IF(AND($CE401&gt;0,#REF!="CARIGNAN N"),#REF!,0))</f>
        <v>#REF!</v>
      </c>
      <c r="CL401" s="7" t="e">
        <f>IF(#REF!="","",IF(AND($CE401&gt;0,#REF!="CABERNET SAUVIGNON N"),#REF!,0))</f>
        <v>#REF!</v>
      </c>
      <c r="CM401" s="7" t="e">
        <f>IF(#REF!="","",IF(AND($CE401&gt;0,#REF!="VERMENTINO B"),#REF!,0))</f>
        <v>#REF!</v>
      </c>
      <c r="CN401" s="7" t="e">
        <f>IF(#REF!="","",IF(AND($CE401&gt;0,#REF!="UGNI BLANC B"),#REF!,0))</f>
        <v>#REF!</v>
      </c>
      <c r="CO401" s="7" t="e">
        <f>IF(#REF!="","",IF(AND($CE401&gt;0,#REF!="CLAIRETTE B"),#REF!,0))</f>
        <v>#REF!</v>
      </c>
      <c r="CP401" s="7" t="e">
        <f>IF(#REF!="","",IF(AND($CE401&gt;0,#REF!="semillon B"),#REF!,0))</f>
        <v>#REF!</v>
      </c>
      <c r="CQ401" s="7" t="e">
        <f>IF(#REF!="","",IF(CE401=0,CC401,0))</f>
        <v>#REF!</v>
      </c>
      <c r="CR401" s="17"/>
      <c r="DE401"/>
    </row>
    <row r="402" spans="81:109" x14ac:dyDescent="0.25">
      <c r="CC402" s="7" t="e">
        <f>IF(#REF!="","",IF(#REF!="PF",#REF!,0))</f>
        <v>#REF!</v>
      </c>
      <c r="CD402" s="7" t="e">
        <f>IF(#REF!="","",IF(#REF!="PF",IF((#REF!+4)&lt;YEAR(#REF!),0,#REF!),0))</f>
        <v>#REF!</v>
      </c>
      <c r="CE402" s="7" t="e">
        <f>IF(#REF!="","",IF(AND(CD402&gt;0,#REF!&lt;&gt;""),CC402,0))</f>
        <v>#REF!</v>
      </c>
      <c r="CF402" s="7" t="e">
        <f>IF(#REF!="","",IF(AND($CE402&gt;0,#REF!= "GRENACHE N"),#REF!,0))</f>
        <v>#REF!</v>
      </c>
      <c r="CG402" s="7" t="e">
        <f>IF(#REF!="","",IF(AND($CE402&gt;0,#REF!="SYRAH N"),#REF!,0))</f>
        <v>#REF!</v>
      </c>
      <c r="CH402" s="7" t="e">
        <f>IF(#REF!="","",IF(AND($CE402&gt;0,#REF!="CINSAUT N"),#REF!,0))</f>
        <v>#REF!</v>
      </c>
      <c r="CI402" s="7" t="e">
        <f>IF(#REF!="","",IF(AND($CE402&gt;0,#REF!="TIBOUREN N"),#REF!,0))</f>
        <v>#REF!</v>
      </c>
      <c r="CJ402" s="7" t="e">
        <f>IF(#REF!="","",IF(AND($CE402&gt;0,#REF!="MOURVEDRE N"),#REF!,0))</f>
        <v>#REF!</v>
      </c>
      <c r="CK402" s="7" t="e">
        <f>IF(#REF!="","",IF(AND($CE402&gt;0,#REF!="CARIGNAN N"),#REF!,0))</f>
        <v>#REF!</v>
      </c>
      <c r="CL402" s="7" t="e">
        <f>IF(#REF!="","",IF(AND($CE402&gt;0,#REF!="CABERNET SAUVIGNON N"),#REF!,0))</f>
        <v>#REF!</v>
      </c>
      <c r="CM402" s="7" t="e">
        <f>IF(#REF!="","",IF(AND($CE402&gt;0,#REF!="VERMENTINO B"),#REF!,0))</f>
        <v>#REF!</v>
      </c>
      <c r="CN402" s="7" t="e">
        <f>IF(#REF!="","",IF(AND($CE402&gt;0,#REF!="UGNI BLANC B"),#REF!,0))</f>
        <v>#REF!</v>
      </c>
      <c r="CO402" s="7" t="e">
        <f>IF(#REF!="","",IF(AND($CE402&gt;0,#REF!="CLAIRETTE B"),#REF!,0))</f>
        <v>#REF!</v>
      </c>
      <c r="CP402" s="7" t="e">
        <f>IF(#REF!="","",IF(AND($CE402&gt;0,#REF!="semillon B"),#REF!,0))</f>
        <v>#REF!</v>
      </c>
      <c r="CQ402" s="7" t="e">
        <f>IF(#REF!="","",IF(CE402=0,CC402,0))</f>
        <v>#REF!</v>
      </c>
      <c r="CR402" s="17"/>
      <c r="DE402"/>
    </row>
    <row r="403" spans="81:109" x14ac:dyDescent="0.25">
      <c r="CC403" s="7" t="e">
        <f>IF(#REF!="","",IF(#REF!="PF",#REF!,0))</f>
        <v>#REF!</v>
      </c>
      <c r="CD403" s="7" t="e">
        <f>IF(#REF!="","",IF(#REF!="PF",IF((#REF!+4)&lt;YEAR(#REF!),0,#REF!),0))</f>
        <v>#REF!</v>
      </c>
      <c r="CE403" s="7" t="e">
        <f>IF(#REF!="","",IF(AND(CD403&gt;0,#REF!&lt;&gt;""),CC403,0))</f>
        <v>#REF!</v>
      </c>
      <c r="CF403" s="7" t="e">
        <f>IF(#REF!="","",IF(AND($CE403&gt;0,#REF!= "GRENACHE N"),#REF!,0))</f>
        <v>#REF!</v>
      </c>
      <c r="CG403" s="7" t="e">
        <f>IF(#REF!="","",IF(AND($CE403&gt;0,#REF!="SYRAH N"),#REF!,0))</f>
        <v>#REF!</v>
      </c>
      <c r="CH403" s="7" t="e">
        <f>IF(#REF!="","",IF(AND($CE403&gt;0,#REF!="CINSAUT N"),#REF!,0))</f>
        <v>#REF!</v>
      </c>
      <c r="CI403" s="7" t="e">
        <f>IF(#REF!="","",IF(AND($CE403&gt;0,#REF!="TIBOUREN N"),#REF!,0))</f>
        <v>#REF!</v>
      </c>
      <c r="CJ403" s="7" t="e">
        <f>IF(#REF!="","",IF(AND($CE403&gt;0,#REF!="MOURVEDRE N"),#REF!,0))</f>
        <v>#REF!</v>
      </c>
      <c r="CK403" s="7" t="e">
        <f>IF(#REF!="","",IF(AND($CE403&gt;0,#REF!="CARIGNAN N"),#REF!,0))</f>
        <v>#REF!</v>
      </c>
      <c r="CL403" s="7" t="e">
        <f>IF(#REF!="","",IF(AND($CE403&gt;0,#REF!="CABERNET SAUVIGNON N"),#REF!,0))</f>
        <v>#REF!</v>
      </c>
      <c r="CM403" s="7" t="e">
        <f>IF(#REF!="","",IF(AND($CE403&gt;0,#REF!="VERMENTINO B"),#REF!,0))</f>
        <v>#REF!</v>
      </c>
      <c r="CN403" s="7" t="e">
        <f>IF(#REF!="","",IF(AND($CE403&gt;0,#REF!="UGNI BLANC B"),#REF!,0))</f>
        <v>#REF!</v>
      </c>
      <c r="CO403" s="7" t="e">
        <f>IF(#REF!="","",IF(AND($CE403&gt;0,#REF!="CLAIRETTE B"),#REF!,0))</f>
        <v>#REF!</v>
      </c>
      <c r="CP403" s="7" t="e">
        <f>IF(#REF!="","",IF(AND($CE403&gt;0,#REF!="semillon B"),#REF!,0))</f>
        <v>#REF!</v>
      </c>
      <c r="CQ403" s="7" t="e">
        <f>IF(#REF!="","",IF(CE403=0,CC403,0))</f>
        <v>#REF!</v>
      </c>
      <c r="CR403" s="17"/>
      <c r="DE403"/>
    </row>
    <row r="404" spans="81:109" x14ac:dyDescent="0.25">
      <c r="CC404" s="7" t="e">
        <f>IF(#REF!="","",IF(#REF!="PF",#REF!,0))</f>
        <v>#REF!</v>
      </c>
      <c r="CD404" s="7" t="e">
        <f>IF(#REF!="","",IF(#REF!="PF",IF((#REF!+4)&lt;YEAR(#REF!),0,#REF!),0))</f>
        <v>#REF!</v>
      </c>
      <c r="CE404" s="7" t="e">
        <f>IF(#REF!="","",IF(AND(CD404&gt;0,#REF!&lt;&gt;""),CC404,0))</f>
        <v>#REF!</v>
      </c>
      <c r="CF404" s="7" t="e">
        <f>IF(#REF!="","",IF(AND($CE404&gt;0,#REF!= "GRENACHE N"),#REF!,0))</f>
        <v>#REF!</v>
      </c>
      <c r="CG404" s="7" t="e">
        <f>IF(#REF!="","",IF(AND($CE404&gt;0,#REF!="SYRAH N"),#REF!,0))</f>
        <v>#REF!</v>
      </c>
      <c r="CH404" s="7" t="e">
        <f>IF(#REF!="","",IF(AND($CE404&gt;0,#REF!="CINSAUT N"),#REF!,0))</f>
        <v>#REF!</v>
      </c>
      <c r="CI404" s="7" t="e">
        <f>IF(#REF!="","",IF(AND($CE404&gt;0,#REF!="TIBOUREN N"),#REF!,0))</f>
        <v>#REF!</v>
      </c>
      <c r="CJ404" s="7" t="e">
        <f>IF(#REF!="","",IF(AND($CE404&gt;0,#REF!="MOURVEDRE N"),#REF!,0))</f>
        <v>#REF!</v>
      </c>
      <c r="CK404" s="7" t="e">
        <f>IF(#REF!="","",IF(AND($CE404&gt;0,#REF!="CARIGNAN N"),#REF!,0))</f>
        <v>#REF!</v>
      </c>
      <c r="CL404" s="7" t="e">
        <f>IF(#REF!="","",IF(AND($CE404&gt;0,#REF!="CABERNET SAUVIGNON N"),#REF!,0))</f>
        <v>#REF!</v>
      </c>
      <c r="CM404" s="7" t="e">
        <f>IF(#REF!="","",IF(AND($CE404&gt;0,#REF!="VERMENTINO B"),#REF!,0))</f>
        <v>#REF!</v>
      </c>
      <c r="CN404" s="7" t="e">
        <f>IF(#REF!="","",IF(AND($CE404&gt;0,#REF!="UGNI BLANC B"),#REF!,0))</f>
        <v>#REF!</v>
      </c>
      <c r="CO404" s="7" t="e">
        <f>IF(#REF!="","",IF(AND($CE404&gt;0,#REF!="CLAIRETTE B"),#REF!,0))</f>
        <v>#REF!</v>
      </c>
      <c r="CP404" s="7" t="e">
        <f>IF(#REF!="","",IF(AND($CE404&gt;0,#REF!="semillon B"),#REF!,0))</f>
        <v>#REF!</v>
      </c>
      <c r="CQ404" s="7" t="e">
        <f>IF(#REF!="","",IF(CE404=0,CC404,0))</f>
        <v>#REF!</v>
      </c>
      <c r="CR404" s="17"/>
      <c r="DE404"/>
    </row>
    <row r="405" spans="81:109" x14ac:dyDescent="0.25">
      <c r="CC405" s="7" t="e">
        <f>IF(#REF!="","",IF(#REF!="PF",#REF!,0))</f>
        <v>#REF!</v>
      </c>
      <c r="CD405" s="7" t="e">
        <f>IF(#REF!="","",IF(#REF!="PF",IF((#REF!+4)&lt;YEAR(#REF!),0,#REF!),0))</f>
        <v>#REF!</v>
      </c>
      <c r="CE405" s="7" t="e">
        <f>IF(#REF!="","",IF(AND(CD405&gt;0,#REF!&lt;&gt;""),CC405,0))</f>
        <v>#REF!</v>
      </c>
      <c r="CF405" s="7" t="e">
        <f>IF(#REF!="","",IF(AND($CE405&gt;0,#REF!= "GRENACHE N"),#REF!,0))</f>
        <v>#REF!</v>
      </c>
      <c r="CG405" s="7" t="e">
        <f>IF(#REF!="","",IF(AND($CE405&gt;0,#REF!="SYRAH N"),#REF!,0))</f>
        <v>#REF!</v>
      </c>
      <c r="CH405" s="7" t="e">
        <f>IF(#REF!="","",IF(AND($CE405&gt;0,#REF!="CINSAUT N"),#REF!,0))</f>
        <v>#REF!</v>
      </c>
      <c r="CI405" s="7" t="e">
        <f>IF(#REF!="","",IF(AND($CE405&gt;0,#REF!="TIBOUREN N"),#REF!,0))</f>
        <v>#REF!</v>
      </c>
      <c r="CJ405" s="7" t="e">
        <f>IF(#REF!="","",IF(AND($CE405&gt;0,#REF!="MOURVEDRE N"),#REF!,0))</f>
        <v>#REF!</v>
      </c>
      <c r="CK405" s="7" t="e">
        <f>IF(#REF!="","",IF(AND($CE405&gt;0,#REF!="CARIGNAN N"),#REF!,0))</f>
        <v>#REF!</v>
      </c>
      <c r="CL405" s="7" t="e">
        <f>IF(#REF!="","",IF(AND($CE405&gt;0,#REF!="CABERNET SAUVIGNON N"),#REF!,0))</f>
        <v>#REF!</v>
      </c>
      <c r="CM405" s="7" t="e">
        <f>IF(#REF!="","",IF(AND($CE405&gt;0,#REF!="VERMENTINO B"),#REF!,0))</f>
        <v>#REF!</v>
      </c>
      <c r="CN405" s="7" t="e">
        <f>IF(#REF!="","",IF(AND($CE405&gt;0,#REF!="UGNI BLANC B"),#REF!,0))</f>
        <v>#REF!</v>
      </c>
      <c r="CO405" s="7" t="e">
        <f>IF(#REF!="","",IF(AND($CE405&gt;0,#REF!="CLAIRETTE B"),#REF!,0))</f>
        <v>#REF!</v>
      </c>
      <c r="CP405" s="7" t="e">
        <f>IF(#REF!="","",IF(AND($CE405&gt;0,#REF!="semillon B"),#REF!,0))</f>
        <v>#REF!</v>
      </c>
      <c r="CQ405" s="7" t="e">
        <f>IF(#REF!="","",IF(CE405=0,CC405,0))</f>
        <v>#REF!</v>
      </c>
      <c r="CR405" s="17"/>
      <c r="DE405"/>
    </row>
    <row r="406" spans="81:109" x14ac:dyDescent="0.25">
      <c r="CC406" s="7" t="e">
        <f>IF(#REF!="","",IF(#REF!="PF",#REF!,0))</f>
        <v>#REF!</v>
      </c>
      <c r="CD406" s="7" t="e">
        <f>IF(#REF!="","",IF(#REF!="PF",IF((#REF!+4)&lt;YEAR(#REF!),0,#REF!),0))</f>
        <v>#REF!</v>
      </c>
      <c r="CE406" s="7" t="e">
        <f>IF(#REF!="","",IF(AND(CD406&gt;0,#REF!&lt;&gt;""),CC406,0))</f>
        <v>#REF!</v>
      </c>
      <c r="CF406" s="7" t="e">
        <f>IF(#REF!="","",IF(AND($CE406&gt;0,#REF!= "GRENACHE N"),#REF!,0))</f>
        <v>#REF!</v>
      </c>
      <c r="CG406" s="7" t="e">
        <f>IF(#REF!="","",IF(AND($CE406&gt;0,#REF!="SYRAH N"),#REF!,0))</f>
        <v>#REF!</v>
      </c>
      <c r="CH406" s="7" t="e">
        <f>IF(#REF!="","",IF(AND($CE406&gt;0,#REF!="CINSAUT N"),#REF!,0))</f>
        <v>#REF!</v>
      </c>
      <c r="CI406" s="7" t="e">
        <f>IF(#REF!="","",IF(AND($CE406&gt;0,#REF!="TIBOUREN N"),#REF!,0))</f>
        <v>#REF!</v>
      </c>
      <c r="CJ406" s="7" t="e">
        <f>IF(#REF!="","",IF(AND($CE406&gt;0,#REF!="MOURVEDRE N"),#REF!,0))</f>
        <v>#REF!</v>
      </c>
      <c r="CK406" s="7" t="e">
        <f>IF(#REF!="","",IF(AND($CE406&gt;0,#REF!="CARIGNAN N"),#REF!,0))</f>
        <v>#REF!</v>
      </c>
      <c r="CL406" s="7" t="e">
        <f>IF(#REF!="","",IF(AND($CE406&gt;0,#REF!="CABERNET SAUVIGNON N"),#REF!,0))</f>
        <v>#REF!</v>
      </c>
      <c r="CM406" s="7" t="e">
        <f>IF(#REF!="","",IF(AND($CE406&gt;0,#REF!="VERMENTINO B"),#REF!,0))</f>
        <v>#REF!</v>
      </c>
      <c r="CN406" s="7" t="e">
        <f>IF(#REF!="","",IF(AND($CE406&gt;0,#REF!="UGNI BLANC B"),#REF!,0))</f>
        <v>#REF!</v>
      </c>
      <c r="CO406" s="7" t="e">
        <f>IF(#REF!="","",IF(AND($CE406&gt;0,#REF!="CLAIRETTE B"),#REF!,0))</f>
        <v>#REF!</v>
      </c>
      <c r="CP406" s="7" t="e">
        <f>IF(#REF!="","",IF(AND($CE406&gt;0,#REF!="semillon B"),#REF!,0))</f>
        <v>#REF!</v>
      </c>
      <c r="CQ406" s="7" t="e">
        <f>IF(#REF!="","",IF(CE406=0,CC406,0))</f>
        <v>#REF!</v>
      </c>
      <c r="CR406" s="17"/>
      <c r="DE406"/>
    </row>
    <row r="407" spans="81:109" x14ac:dyDescent="0.25">
      <c r="CC407" s="7" t="e">
        <f>IF(#REF!="","",IF(#REF!="PF",#REF!,0))</f>
        <v>#REF!</v>
      </c>
      <c r="CD407" s="7" t="e">
        <f>IF(#REF!="","",IF(#REF!="PF",IF((#REF!+4)&lt;YEAR(#REF!),0,#REF!),0))</f>
        <v>#REF!</v>
      </c>
      <c r="CE407" s="7" t="e">
        <f>IF(#REF!="","",IF(AND(CD407&gt;0,#REF!&lt;&gt;""),CC407,0))</f>
        <v>#REF!</v>
      </c>
      <c r="CF407" s="7" t="e">
        <f>IF(#REF!="","",IF(AND($CE407&gt;0,#REF!= "GRENACHE N"),#REF!,0))</f>
        <v>#REF!</v>
      </c>
      <c r="CG407" s="7" t="e">
        <f>IF(#REF!="","",IF(AND($CE407&gt;0,#REF!="SYRAH N"),#REF!,0))</f>
        <v>#REF!</v>
      </c>
      <c r="CH407" s="7" t="e">
        <f>IF(#REF!="","",IF(AND($CE407&gt;0,#REF!="CINSAUT N"),#REF!,0))</f>
        <v>#REF!</v>
      </c>
      <c r="CI407" s="7" t="e">
        <f>IF(#REF!="","",IF(AND($CE407&gt;0,#REF!="TIBOUREN N"),#REF!,0))</f>
        <v>#REF!</v>
      </c>
      <c r="CJ407" s="7" t="e">
        <f>IF(#REF!="","",IF(AND($CE407&gt;0,#REF!="MOURVEDRE N"),#REF!,0))</f>
        <v>#REF!</v>
      </c>
      <c r="CK407" s="7" t="e">
        <f>IF(#REF!="","",IF(AND($CE407&gt;0,#REF!="CARIGNAN N"),#REF!,0))</f>
        <v>#REF!</v>
      </c>
      <c r="CL407" s="7" t="e">
        <f>IF(#REF!="","",IF(AND($CE407&gt;0,#REF!="CABERNET SAUVIGNON N"),#REF!,0))</f>
        <v>#REF!</v>
      </c>
      <c r="CM407" s="7" t="e">
        <f>IF(#REF!="","",IF(AND($CE407&gt;0,#REF!="VERMENTINO B"),#REF!,0))</f>
        <v>#REF!</v>
      </c>
      <c r="CN407" s="7" t="e">
        <f>IF(#REF!="","",IF(AND($CE407&gt;0,#REF!="UGNI BLANC B"),#REF!,0))</f>
        <v>#REF!</v>
      </c>
      <c r="CO407" s="7" t="e">
        <f>IF(#REF!="","",IF(AND($CE407&gt;0,#REF!="CLAIRETTE B"),#REF!,0))</f>
        <v>#REF!</v>
      </c>
      <c r="CP407" s="7" t="e">
        <f>IF(#REF!="","",IF(AND($CE407&gt;0,#REF!="semillon B"),#REF!,0))</f>
        <v>#REF!</v>
      </c>
      <c r="CQ407" s="7" t="e">
        <f>IF(#REF!="","",IF(CE407=0,CC407,0))</f>
        <v>#REF!</v>
      </c>
      <c r="CR407" s="17"/>
      <c r="DE407"/>
    </row>
    <row r="408" spans="81:109" x14ac:dyDescent="0.25">
      <c r="CC408" s="7" t="e">
        <f>IF(#REF!="","",IF(#REF!="PF",#REF!,0))</f>
        <v>#REF!</v>
      </c>
      <c r="CD408" s="7" t="e">
        <f>IF(#REF!="","",IF(#REF!="PF",IF((#REF!+4)&lt;YEAR(#REF!),0,#REF!),0))</f>
        <v>#REF!</v>
      </c>
      <c r="CE408" s="7" t="e">
        <f>IF(#REF!="","",IF(AND(CD408&gt;0,#REF!&lt;&gt;""),CC408,0))</f>
        <v>#REF!</v>
      </c>
      <c r="CF408" s="7" t="e">
        <f>IF(#REF!="","",IF(AND($CE408&gt;0,#REF!= "GRENACHE N"),#REF!,0))</f>
        <v>#REF!</v>
      </c>
      <c r="CG408" s="7" t="e">
        <f>IF(#REF!="","",IF(AND($CE408&gt;0,#REF!="SYRAH N"),#REF!,0))</f>
        <v>#REF!</v>
      </c>
      <c r="CH408" s="7" t="e">
        <f>IF(#REF!="","",IF(AND($CE408&gt;0,#REF!="CINSAUT N"),#REF!,0))</f>
        <v>#REF!</v>
      </c>
      <c r="CI408" s="7" t="e">
        <f>IF(#REF!="","",IF(AND($CE408&gt;0,#REF!="TIBOUREN N"),#REF!,0))</f>
        <v>#REF!</v>
      </c>
      <c r="CJ408" s="7" t="e">
        <f>IF(#REF!="","",IF(AND($CE408&gt;0,#REF!="MOURVEDRE N"),#REF!,0))</f>
        <v>#REF!</v>
      </c>
      <c r="CK408" s="7" t="e">
        <f>IF(#REF!="","",IF(AND($CE408&gt;0,#REF!="CARIGNAN N"),#REF!,0))</f>
        <v>#REF!</v>
      </c>
      <c r="CL408" s="7" t="e">
        <f>IF(#REF!="","",IF(AND($CE408&gt;0,#REF!="CABERNET SAUVIGNON N"),#REF!,0))</f>
        <v>#REF!</v>
      </c>
      <c r="CM408" s="7" t="e">
        <f>IF(#REF!="","",IF(AND($CE408&gt;0,#REF!="VERMENTINO B"),#REF!,0))</f>
        <v>#REF!</v>
      </c>
      <c r="CN408" s="7" t="e">
        <f>IF(#REF!="","",IF(AND($CE408&gt;0,#REF!="UGNI BLANC B"),#REF!,0))</f>
        <v>#REF!</v>
      </c>
      <c r="CO408" s="7" t="e">
        <f>IF(#REF!="","",IF(AND($CE408&gt;0,#REF!="CLAIRETTE B"),#REF!,0))</f>
        <v>#REF!</v>
      </c>
      <c r="CP408" s="7" t="e">
        <f>IF(#REF!="","",IF(AND($CE408&gt;0,#REF!="semillon B"),#REF!,0))</f>
        <v>#REF!</v>
      </c>
      <c r="CQ408" s="7" t="e">
        <f>IF(#REF!="","",IF(CE408=0,CC408,0))</f>
        <v>#REF!</v>
      </c>
      <c r="CR408" s="17"/>
      <c r="DE408"/>
    </row>
    <row r="409" spans="81:109" x14ac:dyDescent="0.25">
      <c r="CC409" s="7" t="e">
        <f>IF(#REF!="","",IF(#REF!="PF",#REF!,0))</f>
        <v>#REF!</v>
      </c>
      <c r="CD409" s="7" t="e">
        <f>IF(#REF!="","",IF(#REF!="PF",IF((#REF!+4)&lt;YEAR(#REF!),0,#REF!),0))</f>
        <v>#REF!</v>
      </c>
      <c r="CE409" s="7" t="e">
        <f>IF(#REF!="","",IF(AND(CD409&gt;0,#REF!&lt;&gt;""),CC409,0))</f>
        <v>#REF!</v>
      </c>
      <c r="CF409" s="7" t="e">
        <f>IF(#REF!="","",IF(AND($CE409&gt;0,#REF!= "GRENACHE N"),#REF!,0))</f>
        <v>#REF!</v>
      </c>
      <c r="CG409" s="7" t="e">
        <f>IF(#REF!="","",IF(AND($CE409&gt;0,#REF!="SYRAH N"),#REF!,0))</f>
        <v>#REF!</v>
      </c>
      <c r="CH409" s="7" t="e">
        <f>IF(#REF!="","",IF(AND($CE409&gt;0,#REF!="CINSAUT N"),#REF!,0))</f>
        <v>#REF!</v>
      </c>
      <c r="CI409" s="7" t="e">
        <f>IF(#REF!="","",IF(AND($CE409&gt;0,#REF!="TIBOUREN N"),#REF!,0))</f>
        <v>#REF!</v>
      </c>
      <c r="CJ409" s="7" t="e">
        <f>IF(#REF!="","",IF(AND($CE409&gt;0,#REF!="MOURVEDRE N"),#REF!,0))</f>
        <v>#REF!</v>
      </c>
      <c r="CK409" s="7" t="e">
        <f>IF(#REF!="","",IF(AND($CE409&gt;0,#REF!="CARIGNAN N"),#REF!,0))</f>
        <v>#REF!</v>
      </c>
      <c r="CL409" s="7" t="e">
        <f>IF(#REF!="","",IF(AND($CE409&gt;0,#REF!="CABERNET SAUVIGNON N"),#REF!,0))</f>
        <v>#REF!</v>
      </c>
      <c r="CM409" s="7" t="e">
        <f>IF(#REF!="","",IF(AND($CE409&gt;0,#REF!="VERMENTINO B"),#REF!,0))</f>
        <v>#REF!</v>
      </c>
      <c r="CN409" s="7" t="e">
        <f>IF(#REF!="","",IF(AND($CE409&gt;0,#REF!="UGNI BLANC B"),#REF!,0))</f>
        <v>#REF!</v>
      </c>
      <c r="CO409" s="7" t="e">
        <f>IF(#REF!="","",IF(AND($CE409&gt;0,#REF!="CLAIRETTE B"),#REF!,0))</f>
        <v>#REF!</v>
      </c>
      <c r="CP409" s="7" t="e">
        <f>IF(#REF!="","",IF(AND($CE409&gt;0,#REF!="semillon B"),#REF!,0))</f>
        <v>#REF!</v>
      </c>
      <c r="CQ409" s="7" t="e">
        <f>IF(#REF!="","",IF(CE409=0,CC409,0))</f>
        <v>#REF!</v>
      </c>
      <c r="CR409" s="17"/>
      <c r="DE409"/>
    </row>
    <row r="410" spans="81:109" x14ac:dyDescent="0.25">
      <c r="CC410" s="7" t="e">
        <f>IF(#REF!="","",IF(#REF!="PF",#REF!,0))</f>
        <v>#REF!</v>
      </c>
      <c r="CD410" s="7" t="e">
        <f>IF(#REF!="","",IF(#REF!="PF",IF((#REF!+4)&lt;YEAR(#REF!),0,#REF!),0))</f>
        <v>#REF!</v>
      </c>
      <c r="CE410" s="7" t="e">
        <f>IF(#REF!="","",IF(AND(CD410&gt;0,#REF!&lt;&gt;""),CC410,0))</f>
        <v>#REF!</v>
      </c>
      <c r="CF410" s="7" t="e">
        <f>IF(#REF!="","",IF(AND($CE410&gt;0,#REF!= "GRENACHE N"),#REF!,0))</f>
        <v>#REF!</v>
      </c>
      <c r="CG410" s="7" t="e">
        <f>IF(#REF!="","",IF(AND($CE410&gt;0,#REF!="SYRAH N"),#REF!,0))</f>
        <v>#REF!</v>
      </c>
      <c r="CH410" s="7" t="e">
        <f>IF(#REF!="","",IF(AND($CE410&gt;0,#REF!="CINSAUT N"),#REF!,0))</f>
        <v>#REF!</v>
      </c>
      <c r="CI410" s="7" t="e">
        <f>IF(#REF!="","",IF(AND($CE410&gt;0,#REF!="TIBOUREN N"),#REF!,0))</f>
        <v>#REF!</v>
      </c>
      <c r="CJ410" s="7" t="e">
        <f>IF(#REF!="","",IF(AND($CE410&gt;0,#REF!="MOURVEDRE N"),#REF!,0))</f>
        <v>#REF!</v>
      </c>
      <c r="CK410" s="7" t="e">
        <f>IF(#REF!="","",IF(AND($CE410&gt;0,#REF!="CARIGNAN N"),#REF!,0))</f>
        <v>#REF!</v>
      </c>
      <c r="CL410" s="7" t="e">
        <f>IF(#REF!="","",IF(AND($CE410&gt;0,#REF!="CABERNET SAUVIGNON N"),#REF!,0))</f>
        <v>#REF!</v>
      </c>
      <c r="CM410" s="7" t="e">
        <f>IF(#REF!="","",IF(AND($CE410&gt;0,#REF!="VERMENTINO B"),#REF!,0))</f>
        <v>#REF!</v>
      </c>
      <c r="CN410" s="7" t="e">
        <f>IF(#REF!="","",IF(AND($CE410&gt;0,#REF!="UGNI BLANC B"),#REF!,0))</f>
        <v>#REF!</v>
      </c>
      <c r="CO410" s="7" t="e">
        <f>IF(#REF!="","",IF(AND($CE410&gt;0,#REF!="CLAIRETTE B"),#REF!,0))</f>
        <v>#REF!</v>
      </c>
      <c r="CP410" s="7" t="e">
        <f>IF(#REF!="","",IF(AND($CE410&gt;0,#REF!="semillon B"),#REF!,0))</f>
        <v>#REF!</v>
      </c>
      <c r="CQ410" s="7" t="e">
        <f>IF(#REF!="","",IF(CE410=0,CC410,0))</f>
        <v>#REF!</v>
      </c>
      <c r="CR410" s="17"/>
      <c r="DE410"/>
    </row>
    <row r="411" spans="81:109" x14ac:dyDescent="0.25">
      <c r="CC411" s="7" t="e">
        <f>IF(#REF!="","",IF(#REF!="PF",#REF!,0))</f>
        <v>#REF!</v>
      </c>
      <c r="CD411" s="7" t="e">
        <f>IF(#REF!="","",IF(#REF!="PF",IF((#REF!+4)&lt;YEAR(#REF!),0,#REF!),0))</f>
        <v>#REF!</v>
      </c>
      <c r="CE411" s="7" t="e">
        <f>IF(#REF!="","",IF(AND(CD411&gt;0,#REF!&lt;&gt;""),CC411,0))</f>
        <v>#REF!</v>
      </c>
      <c r="CF411" s="7" t="e">
        <f>IF(#REF!="","",IF(AND($CE411&gt;0,#REF!= "GRENACHE N"),#REF!,0))</f>
        <v>#REF!</v>
      </c>
      <c r="CG411" s="7" t="e">
        <f>IF(#REF!="","",IF(AND($CE411&gt;0,#REF!="SYRAH N"),#REF!,0))</f>
        <v>#REF!</v>
      </c>
      <c r="CH411" s="7" t="e">
        <f>IF(#REF!="","",IF(AND($CE411&gt;0,#REF!="CINSAUT N"),#REF!,0))</f>
        <v>#REF!</v>
      </c>
      <c r="CI411" s="7" t="e">
        <f>IF(#REF!="","",IF(AND($CE411&gt;0,#REF!="TIBOUREN N"),#REF!,0))</f>
        <v>#REF!</v>
      </c>
      <c r="CJ411" s="7" t="e">
        <f>IF(#REF!="","",IF(AND($CE411&gt;0,#REF!="MOURVEDRE N"),#REF!,0))</f>
        <v>#REF!</v>
      </c>
      <c r="CK411" s="7" t="e">
        <f>IF(#REF!="","",IF(AND($CE411&gt;0,#REF!="CARIGNAN N"),#REF!,0))</f>
        <v>#REF!</v>
      </c>
      <c r="CL411" s="7" t="e">
        <f>IF(#REF!="","",IF(AND($CE411&gt;0,#REF!="CABERNET SAUVIGNON N"),#REF!,0))</f>
        <v>#REF!</v>
      </c>
      <c r="CM411" s="7" t="e">
        <f>IF(#REF!="","",IF(AND($CE411&gt;0,#REF!="VERMENTINO B"),#REF!,0))</f>
        <v>#REF!</v>
      </c>
      <c r="CN411" s="7" t="e">
        <f>IF(#REF!="","",IF(AND($CE411&gt;0,#REF!="UGNI BLANC B"),#REF!,0))</f>
        <v>#REF!</v>
      </c>
      <c r="CO411" s="7" t="e">
        <f>IF(#REF!="","",IF(AND($CE411&gt;0,#REF!="CLAIRETTE B"),#REF!,0))</f>
        <v>#REF!</v>
      </c>
      <c r="CP411" s="7" t="e">
        <f>IF(#REF!="","",IF(AND($CE411&gt;0,#REF!="semillon B"),#REF!,0))</f>
        <v>#REF!</v>
      </c>
      <c r="CQ411" s="7" t="e">
        <f>IF(#REF!="","",IF(CE411=0,CC411,0))</f>
        <v>#REF!</v>
      </c>
      <c r="CR411" s="17"/>
      <c r="DE411"/>
    </row>
    <row r="412" spans="81:109" x14ac:dyDescent="0.25">
      <c r="CC412" s="7" t="e">
        <f>IF(#REF!="","",IF(#REF!="PF",#REF!,0))</f>
        <v>#REF!</v>
      </c>
      <c r="CD412" s="7" t="e">
        <f>IF(#REF!="","",IF(#REF!="PF",IF((#REF!+4)&lt;YEAR(#REF!),0,#REF!),0))</f>
        <v>#REF!</v>
      </c>
      <c r="CE412" s="7" t="e">
        <f>IF(#REF!="","",IF(AND(CD412&gt;0,#REF!&lt;&gt;""),CC412,0))</f>
        <v>#REF!</v>
      </c>
      <c r="CF412" s="7" t="e">
        <f>IF(#REF!="","",IF(AND($CE412&gt;0,#REF!= "GRENACHE N"),#REF!,0))</f>
        <v>#REF!</v>
      </c>
      <c r="CG412" s="7" t="e">
        <f>IF(#REF!="","",IF(AND($CE412&gt;0,#REF!="SYRAH N"),#REF!,0))</f>
        <v>#REF!</v>
      </c>
      <c r="CH412" s="7" t="e">
        <f>IF(#REF!="","",IF(AND($CE412&gt;0,#REF!="CINSAUT N"),#REF!,0))</f>
        <v>#REF!</v>
      </c>
      <c r="CI412" s="7" t="e">
        <f>IF(#REF!="","",IF(AND($CE412&gt;0,#REF!="TIBOUREN N"),#REF!,0))</f>
        <v>#REF!</v>
      </c>
      <c r="CJ412" s="7" t="e">
        <f>IF(#REF!="","",IF(AND($CE412&gt;0,#REF!="MOURVEDRE N"),#REF!,0))</f>
        <v>#REF!</v>
      </c>
      <c r="CK412" s="7" t="e">
        <f>IF(#REF!="","",IF(AND($CE412&gt;0,#REF!="CARIGNAN N"),#REF!,0))</f>
        <v>#REF!</v>
      </c>
      <c r="CL412" s="7" t="e">
        <f>IF(#REF!="","",IF(AND($CE412&gt;0,#REF!="CABERNET SAUVIGNON N"),#REF!,0))</f>
        <v>#REF!</v>
      </c>
      <c r="CM412" s="7" t="e">
        <f>IF(#REF!="","",IF(AND($CE412&gt;0,#REF!="VERMENTINO B"),#REF!,0))</f>
        <v>#REF!</v>
      </c>
      <c r="CN412" s="7" t="e">
        <f>IF(#REF!="","",IF(AND($CE412&gt;0,#REF!="UGNI BLANC B"),#REF!,0))</f>
        <v>#REF!</v>
      </c>
      <c r="CO412" s="7" t="e">
        <f>IF(#REF!="","",IF(AND($CE412&gt;0,#REF!="CLAIRETTE B"),#REF!,0))</f>
        <v>#REF!</v>
      </c>
      <c r="CP412" s="7" t="e">
        <f>IF(#REF!="","",IF(AND($CE412&gt;0,#REF!="semillon B"),#REF!,0))</f>
        <v>#REF!</v>
      </c>
      <c r="CQ412" s="7" t="e">
        <f>IF(#REF!="","",IF(CE412=0,CC412,0))</f>
        <v>#REF!</v>
      </c>
      <c r="CR412" s="17"/>
      <c r="DE412"/>
    </row>
    <row r="413" spans="81:109" x14ac:dyDescent="0.25">
      <c r="CC413" s="7" t="e">
        <f>IF(#REF!="","",IF(#REF!="PF",#REF!,0))</f>
        <v>#REF!</v>
      </c>
      <c r="CD413" s="7" t="e">
        <f>IF(#REF!="","",IF(#REF!="PF",IF((#REF!+4)&lt;YEAR(#REF!),0,#REF!),0))</f>
        <v>#REF!</v>
      </c>
      <c r="CE413" s="7" t="e">
        <f>IF(#REF!="","",IF(AND(CD413&gt;0,#REF!&lt;&gt;""),CC413,0))</f>
        <v>#REF!</v>
      </c>
      <c r="CF413" s="7" t="e">
        <f>IF(#REF!="","",IF(AND($CE413&gt;0,#REF!= "GRENACHE N"),#REF!,0))</f>
        <v>#REF!</v>
      </c>
      <c r="CG413" s="7" t="e">
        <f>IF(#REF!="","",IF(AND($CE413&gt;0,#REF!="SYRAH N"),#REF!,0))</f>
        <v>#REF!</v>
      </c>
      <c r="CH413" s="7" t="e">
        <f>IF(#REF!="","",IF(AND($CE413&gt;0,#REF!="CINSAUT N"),#REF!,0))</f>
        <v>#REF!</v>
      </c>
      <c r="CI413" s="7" t="e">
        <f>IF(#REF!="","",IF(AND($CE413&gt;0,#REF!="TIBOUREN N"),#REF!,0))</f>
        <v>#REF!</v>
      </c>
      <c r="CJ413" s="7" t="e">
        <f>IF(#REF!="","",IF(AND($CE413&gt;0,#REF!="MOURVEDRE N"),#REF!,0))</f>
        <v>#REF!</v>
      </c>
      <c r="CK413" s="7" t="e">
        <f>IF(#REF!="","",IF(AND($CE413&gt;0,#REF!="CARIGNAN N"),#REF!,0))</f>
        <v>#REF!</v>
      </c>
      <c r="CL413" s="7" t="e">
        <f>IF(#REF!="","",IF(AND($CE413&gt;0,#REF!="CABERNET SAUVIGNON N"),#REF!,0))</f>
        <v>#REF!</v>
      </c>
      <c r="CM413" s="7" t="e">
        <f>IF(#REF!="","",IF(AND($CE413&gt;0,#REF!="VERMENTINO B"),#REF!,0))</f>
        <v>#REF!</v>
      </c>
      <c r="CN413" s="7" t="e">
        <f>IF(#REF!="","",IF(AND($CE413&gt;0,#REF!="UGNI BLANC B"),#REF!,0))</f>
        <v>#REF!</v>
      </c>
      <c r="CO413" s="7" t="e">
        <f>IF(#REF!="","",IF(AND($CE413&gt;0,#REF!="CLAIRETTE B"),#REF!,0))</f>
        <v>#REF!</v>
      </c>
      <c r="CP413" s="7" t="e">
        <f>IF(#REF!="","",IF(AND($CE413&gt;0,#REF!="semillon B"),#REF!,0))</f>
        <v>#REF!</v>
      </c>
      <c r="CQ413" s="7" t="e">
        <f>IF(#REF!="","",IF(CE413=0,CC413,0))</f>
        <v>#REF!</v>
      </c>
      <c r="CR413" s="17"/>
      <c r="DE413"/>
    </row>
    <row r="414" spans="81:109" x14ac:dyDescent="0.25">
      <c r="CC414" s="7" t="e">
        <f>IF(#REF!="","",IF(#REF!="PF",#REF!,0))</f>
        <v>#REF!</v>
      </c>
      <c r="CD414" s="7" t="e">
        <f>IF(#REF!="","",IF(#REF!="PF",IF((#REF!+4)&lt;YEAR(#REF!),0,#REF!),0))</f>
        <v>#REF!</v>
      </c>
      <c r="CE414" s="7" t="e">
        <f>IF(#REF!="","",IF(AND(CD414&gt;0,#REF!&lt;&gt;""),CC414,0))</f>
        <v>#REF!</v>
      </c>
      <c r="CF414" s="7" t="e">
        <f>IF(#REF!="","",IF(AND($CE414&gt;0,#REF!= "GRENACHE N"),#REF!,0))</f>
        <v>#REF!</v>
      </c>
      <c r="CG414" s="7" t="e">
        <f>IF(#REF!="","",IF(AND($CE414&gt;0,#REF!="SYRAH N"),#REF!,0))</f>
        <v>#REF!</v>
      </c>
      <c r="CH414" s="7" t="e">
        <f>IF(#REF!="","",IF(AND($CE414&gt;0,#REF!="CINSAUT N"),#REF!,0))</f>
        <v>#REF!</v>
      </c>
      <c r="CI414" s="7" t="e">
        <f>IF(#REF!="","",IF(AND($CE414&gt;0,#REF!="TIBOUREN N"),#REF!,0))</f>
        <v>#REF!</v>
      </c>
      <c r="CJ414" s="7" t="e">
        <f>IF(#REF!="","",IF(AND($CE414&gt;0,#REF!="MOURVEDRE N"),#REF!,0))</f>
        <v>#REF!</v>
      </c>
      <c r="CK414" s="7" t="e">
        <f>IF(#REF!="","",IF(AND($CE414&gt;0,#REF!="CARIGNAN N"),#REF!,0))</f>
        <v>#REF!</v>
      </c>
      <c r="CL414" s="7" t="e">
        <f>IF(#REF!="","",IF(AND($CE414&gt;0,#REF!="CABERNET SAUVIGNON N"),#REF!,0))</f>
        <v>#REF!</v>
      </c>
      <c r="CM414" s="7" t="e">
        <f>IF(#REF!="","",IF(AND($CE414&gt;0,#REF!="VERMENTINO B"),#REF!,0))</f>
        <v>#REF!</v>
      </c>
      <c r="CN414" s="7" t="e">
        <f>IF(#REF!="","",IF(AND($CE414&gt;0,#REF!="UGNI BLANC B"),#REF!,0))</f>
        <v>#REF!</v>
      </c>
      <c r="CO414" s="7" t="e">
        <f>IF(#REF!="","",IF(AND($CE414&gt;0,#REF!="CLAIRETTE B"),#REF!,0))</f>
        <v>#REF!</v>
      </c>
      <c r="CP414" s="7" t="e">
        <f>IF(#REF!="","",IF(AND($CE414&gt;0,#REF!="semillon B"),#REF!,0))</f>
        <v>#REF!</v>
      </c>
      <c r="CQ414" s="7" t="e">
        <f>IF(#REF!="","",IF(CE414=0,CC414,0))</f>
        <v>#REF!</v>
      </c>
      <c r="CR414" s="17"/>
      <c r="DE414"/>
    </row>
    <row r="415" spans="81:109" x14ac:dyDescent="0.25">
      <c r="CC415" s="7" t="e">
        <f>IF(#REF!="","",IF(#REF!="PF",#REF!,0))</f>
        <v>#REF!</v>
      </c>
      <c r="CD415" s="7" t="e">
        <f>IF(#REF!="","",IF(#REF!="PF",IF((#REF!+4)&lt;YEAR(#REF!),0,#REF!),0))</f>
        <v>#REF!</v>
      </c>
      <c r="CE415" s="7" t="e">
        <f>IF(#REF!="","",IF(AND(CD415&gt;0,#REF!&lt;&gt;""),CC415,0))</f>
        <v>#REF!</v>
      </c>
      <c r="CF415" s="7" t="e">
        <f>IF(#REF!="","",IF(AND($CE415&gt;0,#REF!= "GRENACHE N"),#REF!,0))</f>
        <v>#REF!</v>
      </c>
      <c r="CG415" s="7" t="e">
        <f>IF(#REF!="","",IF(AND($CE415&gt;0,#REF!="SYRAH N"),#REF!,0))</f>
        <v>#REF!</v>
      </c>
      <c r="CH415" s="7" t="e">
        <f>IF(#REF!="","",IF(AND($CE415&gt;0,#REF!="CINSAUT N"),#REF!,0))</f>
        <v>#REF!</v>
      </c>
      <c r="CI415" s="7" t="e">
        <f>IF(#REF!="","",IF(AND($CE415&gt;0,#REF!="TIBOUREN N"),#REF!,0))</f>
        <v>#REF!</v>
      </c>
      <c r="CJ415" s="7" t="e">
        <f>IF(#REF!="","",IF(AND($CE415&gt;0,#REF!="MOURVEDRE N"),#REF!,0))</f>
        <v>#REF!</v>
      </c>
      <c r="CK415" s="7" t="e">
        <f>IF(#REF!="","",IF(AND($CE415&gt;0,#REF!="CARIGNAN N"),#REF!,0))</f>
        <v>#REF!</v>
      </c>
      <c r="CL415" s="7" t="e">
        <f>IF(#REF!="","",IF(AND($CE415&gt;0,#REF!="CABERNET SAUVIGNON N"),#REF!,0))</f>
        <v>#REF!</v>
      </c>
      <c r="CM415" s="7" t="e">
        <f>IF(#REF!="","",IF(AND($CE415&gt;0,#REF!="VERMENTINO B"),#REF!,0))</f>
        <v>#REF!</v>
      </c>
      <c r="CN415" s="7" t="e">
        <f>IF(#REF!="","",IF(AND($CE415&gt;0,#REF!="UGNI BLANC B"),#REF!,0))</f>
        <v>#REF!</v>
      </c>
      <c r="CO415" s="7" t="e">
        <f>IF(#REF!="","",IF(AND($CE415&gt;0,#REF!="CLAIRETTE B"),#REF!,0))</f>
        <v>#REF!</v>
      </c>
      <c r="CP415" s="7" t="e">
        <f>IF(#REF!="","",IF(AND($CE415&gt;0,#REF!="semillon B"),#REF!,0))</f>
        <v>#REF!</v>
      </c>
      <c r="CQ415" s="7" t="e">
        <f>IF(#REF!="","",IF(CE415=0,CC415,0))</f>
        <v>#REF!</v>
      </c>
      <c r="CR415" s="17"/>
      <c r="DE415"/>
    </row>
    <row r="416" spans="81:109" x14ac:dyDescent="0.25">
      <c r="CC416" s="7" t="e">
        <f>IF(#REF!="","",IF(#REF!="PF",#REF!,0))</f>
        <v>#REF!</v>
      </c>
      <c r="CD416" s="7" t="e">
        <f>IF(#REF!="","",IF(#REF!="PF",IF((#REF!+4)&lt;YEAR(#REF!),0,#REF!),0))</f>
        <v>#REF!</v>
      </c>
      <c r="CE416" s="7" t="e">
        <f>IF(#REF!="","",IF(AND(CD416&gt;0,#REF!&lt;&gt;""),CC416,0))</f>
        <v>#REF!</v>
      </c>
      <c r="CF416" s="7" t="e">
        <f>IF(#REF!="","",IF(AND($CE416&gt;0,#REF!= "GRENACHE N"),#REF!,0))</f>
        <v>#REF!</v>
      </c>
      <c r="CG416" s="7" t="e">
        <f>IF(#REF!="","",IF(AND($CE416&gt;0,#REF!="SYRAH N"),#REF!,0))</f>
        <v>#REF!</v>
      </c>
      <c r="CH416" s="7" t="e">
        <f>IF(#REF!="","",IF(AND($CE416&gt;0,#REF!="CINSAUT N"),#REF!,0))</f>
        <v>#REF!</v>
      </c>
      <c r="CI416" s="7" t="e">
        <f>IF(#REF!="","",IF(AND($CE416&gt;0,#REF!="TIBOUREN N"),#REF!,0))</f>
        <v>#REF!</v>
      </c>
      <c r="CJ416" s="7" t="e">
        <f>IF(#REF!="","",IF(AND($CE416&gt;0,#REF!="MOURVEDRE N"),#REF!,0))</f>
        <v>#REF!</v>
      </c>
      <c r="CK416" s="7" t="e">
        <f>IF(#REF!="","",IF(AND($CE416&gt;0,#REF!="CARIGNAN N"),#REF!,0))</f>
        <v>#REF!</v>
      </c>
      <c r="CL416" s="7" t="e">
        <f>IF(#REF!="","",IF(AND($CE416&gt;0,#REF!="CABERNET SAUVIGNON N"),#REF!,0))</f>
        <v>#REF!</v>
      </c>
      <c r="CM416" s="7" t="e">
        <f>IF(#REF!="","",IF(AND($CE416&gt;0,#REF!="VERMENTINO B"),#REF!,0))</f>
        <v>#REF!</v>
      </c>
      <c r="CN416" s="7" t="e">
        <f>IF(#REF!="","",IF(AND($CE416&gt;0,#REF!="UGNI BLANC B"),#REF!,0))</f>
        <v>#REF!</v>
      </c>
      <c r="CO416" s="7" t="e">
        <f>IF(#REF!="","",IF(AND($CE416&gt;0,#REF!="CLAIRETTE B"),#REF!,0))</f>
        <v>#REF!</v>
      </c>
      <c r="CP416" s="7" t="e">
        <f>IF(#REF!="","",IF(AND($CE416&gt;0,#REF!="semillon B"),#REF!,0))</f>
        <v>#REF!</v>
      </c>
      <c r="CQ416" s="7" t="e">
        <f>IF(#REF!="","",IF(CE416=0,CC416,0))</f>
        <v>#REF!</v>
      </c>
      <c r="CR416" s="17"/>
      <c r="DE416"/>
    </row>
    <row r="417" spans="81:109" x14ac:dyDescent="0.25">
      <c r="CC417" s="7" t="e">
        <f>IF(#REF!="","",IF(#REF!="PF",#REF!,0))</f>
        <v>#REF!</v>
      </c>
      <c r="CD417" s="7" t="e">
        <f>IF(#REF!="","",IF(#REF!="PF",IF((#REF!+4)&lt;YEAR(#REF!),0,#REF!),0))</f>
        <v>#REF!</v>
      </c>
      <c r="CE417" s="7" t="e">
        <f>IF(#REF!="","",IF(AND(CD417&gt;0,#REF!&lt;&gt;""),CC417,0))</f>
        <v>#REF!</v>
      </c>
      <c r="CF417" s="7" t="e">
        <f>IF(#REF!="","",IF(AND($CE417&gt;0,#REF!= "GRENACHE N"),#REF!,0))</f>
        <v>#REF!</v>
      </c>
      <c r="CG417" s="7" t="e">
        <f>IF(#REF!="","",IF(AND($CE417&gt;0,#REF!="SYRAH N"),#REF!,0))</f>
        <v>#REF!</v>
      </c>
      <c r="CH417" s="7" t="e">
        <f>IF(#REF!="","",IF(AND($CE417&gt;0,#REF!="CINSAUT N"),#REF!,0))</f>
        <v>#REF!</v>
      </c>
      <c r="CI417" s="7" t="e">
        <f>IF(#REF!="","",IF(AND($CE417&gt;0,#REF!="TIBOUREN N"),#REF!,0))</f>
        <v>#REF!</v>
      </c>
      <c r="CJ417" s="7" t="e">
        <f>IF(#REF!="","",IF(AND($CE417&gt;0,#REF!="MOURVEDRE N"),#REF!,0))</f>
        <v>#REF!</v>
      </c>
      <c r="CK417" s="7" t="e">
        <f>IF(#REF!="","",IF(AND($CE417&gt;0,#REF!="CARIGNAN N"),#REF!,0))</f>
        <v>#REF!</v>
      </c>
      <c r="CL417" s="7" t="e">
        <f>IF(#REF!="","",IF(AND($CE417&gt;0,#REF!="CABERNET SAUVIGNON N"),#REF!,0))</f>
        <v>#REF!</v>
      </c>
      <c r="CM417" s="7" t="e">
        <f>IF(#REF!="","",IF(AND($CE417&gt;0,#REF!="VERMENTINO B"),#REF!,0))</f>
        <v>#REF!</v>
      </c>
      <c r="CN417" s="7" t="e">
        <f>IF(#REF!="","",IF(AND($CE417&gt;0,#REF!="UGNI BLANC B"),#REF!,0))</f>
        <v>#REF!</v>
      </c>
      <c r="CO417" s="7" t="e">
        <f>IF(#REF!="","",IF(AND($CE417&gt;0,#REF!="CLAIRETTE B"),#REF!,0))</f>
        <v>#REF!</v>
      </c>
      <c r="CP417" s="7" t="e">
        <f>IF(#REF!="","",IF(AND($CE417&gt;0,#REF!="semillon B"),#REF!,0))</f>
        <v>#REF!</v>
      </c>
      <c r="CQ417" s="7" t="e">
        <f>IF(#REF!="","",IF(CE417=0,CC417,0))</f>
        <v>#REF!</v>
      </c>
      <c r="CR417" s="17"/>
      <c r="DE417"/>
    </row>
    <row r="418" spans="81:109" x14ac:dyDescent="0.25">
      <c r="CC418" s="7" t="e">
        <f>IF(#REF!="","",IF(#REF!="PF",#REF!,0))</f>
        <v>#REF!</v>
      </c>
      <c r="CD418" s="7" t="e">
        <f>IF(#REF!="","",IF(#REF!="PF",IF((#REF!+4)&lt;YEAR(#REF!),0,#REF!),0))</f>
        <v>#REF!</v>
      </c>
      <c r="CE418" s="7" t="e">
        <f>IF(#REF!="","",IF(AND(CD418&gt;0,#REF!&lt;&gt;""),CC418,0))</f>
        <v>#REF!</v>
      </c>
      <c r="CF418" s="7" t="e">
        <f>IF(#REF!="","",IF(AND($CE418&gt;0,#REF!= "GRENACHE N"),#REF!,0))</f>
        <v>#REF!</v>
      </c>
      <c r="CG418" s="7" t="e">
        <f>IF(#REF!="","",IF(AND($CE418&gt;0,#REF!="SYRAH N"),#REF!,0))</f>
        <v>#REF!</v>
      </c>
      <c r="CH418" s="7" t="e">
        <f>IF(#REF!="","",IF(AND($CE418&gt;0,#REF!="CINSAUT N"),#REF!,0))</f>
        <v>#REF!</v>
      </c>
      <c r="CI418" s="7" t="e">
        <f>IF(#REF!="","",IF(AND($CE418&gt;0,#REF!="TIBOUREN N"),#REF!,0))</f>
        <v>#REF!</v>
      </c>
      <c r="CJ418" s="7" t="e">
        <f>IF(#REF!="","",IF(AND($CE418&gt;0,#REF!="MOURVEDRE N"),#REF!,0))</f>
        <v>#REF!</v>
      </c>
      <c r="CK418" s="7" t="e">
        <f>IF(#REF!="","",IF(AND($CE418&gt;0,#REF!="CARIGNAN N"),#REF!,0))</f>
        <v>#REF!</v>
      </c>
      <c r="CL418" s="7" t="e">
        <f>IF(#REF!="","",IF(AND($CE418&gt;0,#REF!="CABERNET SAUVIGNON N"),#REF!,0))</f>
        <v>#REF!</v>
      </c>
      <c r="CM418" s="7" t="e">
        <f>IF(#REF!="","",IF(AND($CE418&gt;0,#REF!="VERMENTINO B"),#REF!,0))</f>
        <v>#REF!</v>
      </c>
      <c r="CN418" s="7" t="e">
        <f>IF(#REF!="","",IF(AND($CE418&gt;0,#REF!="UGNI BLANC B"),#REF!,0))</f>
        <v>#REF!</v>
      </c>
      <c r="CO418" s="7" t="e">
        <f>IF(#REF!="","",IF(AND($CE418&gt;0,#REF!="CLAIRETTE B"),#REF!,0))</f>
        <v>#REF!</v>
      </c>
      <c r="CP418" s="7" t="e">
        <f>IF(#REF!="","",IF(AND($CE418&gt;0,#REF!="semillon B"),#REF!,0))</f>
        <v>#REF!</v>
      </c>
      <c r="CQ418" s="7" t="e">
        <f>IF(#REF!="","",IF(CE418=0,CC418,0))</f>
        <v>#REF!</v>
      </c>
      <c r="CR418" s="17"/>
      <c r="DE418"/>
    </row>
    <row r="419" spans="81:109" x14ac:dyDescent="0.25">
      <c r="CC419" s="7" t="e">
        <f>IF(#REF!="","",IF(#REF!="PF",#REF!,0))</f>
        <v>#REF!</v>
      </c>
      <c r="CD419" s="7" t="e">
        <f>IF(#REF!="","",IF(#REF!="PF",IF((#REF!+4)&lt;YEAR(#REF!),0,#REF!),0))</f>
        <v>#REF!</v>
      </c>
      <c r="CE419" s="7" t="e">
        <f>IF(#REF!="","",IF(AND(CD419&gt;0,#REF!&lt;&gt;""),CC419,0))</f>
        <v>#REF!</v>
      </c>
      <c r="CF419" s="7" t="e">
        <f>IF(#REF!="","",IF(AND($CE419&gt;0,#REF!= "GRENACHE N"),#REF!,0))</f>
        <v>#REF!</v>
      </c>
      <c r="CG419" s="7" t="e">
        <f>IF(#REF!="","",IF(AND($CE419&gt;0,#REF!="SYRAH N"),#REF!,0))</f>
        <v>#REF!</v>
      </c>
      <c r="CH419" s="7" t="e">
        <f>IF(#REF!="","",IF(AND($CE419&gt;0,#REF!="CINSAUT N"),#REF!,0))</f>
        <v>#REF!</v>
      </c>
      <c r="CI419" s="7" t="e">
        <f>IF(#REF!="","",IF(AND($CE419&gt;0,#REF!="TIBOUREN N"),#REF!,0))</f>
        <v>#REF!</v>
      </c>
      <c r="CJ419" s="7" t="e">
        <f>IF(#REF!="","",IF(AND($CE419&gt;0,#REF!="MOURVEDRE N"),#REF!,0))</f>
        <v>#REF!</v>
      </c>
      <c r="CK419" s="7" t="e">
        <f>IF(#REF!="","",IF(AND($CE419&gt;0,#REF!="CARIGNAN N"),#REF!,0))</f>
        <v>#REF!</v>
      </c>
      <c r="CL419" s="7" t="e">
        <f>IF(#REF!="","",IF(AND($CE419&gt;0,#REF!="CABERNET SAUVIGNON N"),#REF!,0))</f>
        <v>#REF!</v>
      </c>
      <c r="CM419" s="7" t="e">
        <f>IF(#REF!="","",IF(AND($CE419&gt;0,#REF!="VERMENTINO B"),#REF!,0))</f>
        <v>#REF!</v>
      </c>
      <c r="CN419" s="7" t="e">
        <f>IF(#REF!="","",IF(AND($CE419&gt;0,#REF!="UGNI BLANC B"),#REF!,0))</f>
        <v>#REF!</v>
      </c>
      <c r="CO419" s="7" t="e">
        <f>IF(#REF!="","",IF(AND($CE419&gt;0,#REF!="CLAIRETTE B"),#REF!,0))</f>
        <v>#REF!</v>
      </c>
      <c r="CP419" s="7" t="e">
        <f>IF(#REF!="","",IF(AND($CE419&gt;0,#REF!="semillon B"),#REF!,0))</f>
        <v>#REF!</v>
      </c>
      <c r="CQ419" s="7" t="e">
        <f>IF(#REF!="","",IF(CE419=0,CC419,0))</f>
        <v>#REF!</v>
      </c>
      <c r="CR419" s="17"/>
      <c r="DE419"/>
    </row>
    <row r="420" spans="81:109" x14ac:dyDescent="0.25">
      <c r="CC420" s="7" t="e">
        <f>IF(#REF!="","",IF(#REF!="PF",#REF!,0))</f>
        <v>#REF!</v>
      </c>
      <c r="CD420" s="7" t="e">
        <f>IF(#REF!="","",IF(#REF!="PF",IF((#REF!+4)&lt;YEAR(#REF!),0,#REF!),0))</f>
        <v>#REF!</v>
      </c>
      <c r="CE420" s="7" t="e">
        <f>IF(#REF!="","",IF(AND(CD420&gt;0,#REF!&lt;&gt;""),CC420,0))</f>
        <v>#REF!</v>
      </c>
      <c r="CF420" s="7" t="e">
        <f>IF(#REF!="","",IF(AND($CE420&gt;0,#REF!= "GRENACHE N"),#REF!,0))</f>
        <v>#REF!</v>
      </c>
      <c r="CG420" s="7" t="e">
        <f>IF(#REF!="","",IF(AND($CE420&gt;0,#REF!="SYRAH N"),#REF!,0))</f>
        <v>#REF!</v>
      </c>
      <c r="CH420" s="7" t="e">
        <f>IF(#REF!="","",IF(AND($CE420&gt;0,#REF!="CINSAUT N"),#REF!,0))</f>
        <v>#REF!</v>
      </c>
      <c r="CI420" s="7" t="e">
        <f>IF(#REF!="","",IF(AND($CE420&gt;0,#REF!="TIBOUREN N"),#REF!,0))</f>
        <v>#REF!</v>
      </c>
      <c r="CJ420" s="7" t="e">
        <f>IF(#REF!="","",IF(AND($CE420&gt;0,#REF!="MOURVEDRE N"),#REF!,0))</f>
        <v>#REF!</v>
      </c>
      <c r="CK420" s="7" t="e">
        <f>IF(#REF!="","",IF(AND($CE420&gt;0,#REF!="CARIGNAN N"),#REF!,0))</f>
        <v>#REF!</v>
      </c>
      <c r="CL420" s="7" t="e">
        <f>IF(#REF!="","",IF(AND($CE420&gt;0,#REF!="CABERNET SAUVIGNON N"),#REF!,0))</f>
        <v>#REF!</v>
      </c>
      <c r="CM420" s="7" t="e">
        <f>IF(#REF!="","",IF(AND($CE420&gt;0,#REF!="VERMENTINO B"),#REF!,0))</f>
        <v>#REF!</v>
      </c>
      <c r="CN420" s="7" t="e">
        <f>IF(#REF!="","",IF(AND($CE420&gt;0,#REF!="UGNI BLANC B"),#REF!,0))</f>
        <v>#REF!</v>
      </c>
      <c r="CO420" s="7" t="e">
        <f>IF(#REF!="","",IF(AND($CE420&gt;0,#REF!="CLAIRETTE B"),#REF!,0))</f>
        <v>#REF!</v>
      </c>
      <c r="CP420" s="7" t="e">
        <f>IF(#REF!="","",IF(AND($CE420&gt;0,#REF!="semillon B"),#REF!,0))</f>
        <v>#REF!</v>
      </c>
      <c r="CQ420" s="7" t="e">
        <f>IF(#REF!="","",IF(CE420=0,CC420,0))</f>
        <v>#REF!</v>
      </c>
      <c r="CR420" s="17"/>
      <c r="DE420"/>
    </row>
    <row r="421" spans="81:109" x14ac:dyDescent="0.25">
      <c r="CC421" s="7" t="e">
        <f>IF(#REF!="","",IF(#REF!="PF",#REF!,0))</f>
        <v>#REF!</v>
      </c>
      <c r="CD421" s="7" t="e">
        <f>IF(#REF!="","",IF(#REF!="PF",IF((#REF!+4)&lt;YEAR(#REF!),0,#REF!),0))</f>
        <v>#REF!</v>
      </c>
      <c r="CE421" s="7" t="e">
        <f>IF(#REF!="","",IF(AND(CD421&gt;0,#REF!&lt;&gt;""),CC421,0))</f>
        <v>#REF!</v>
      </c>
      <c r="CF421" s="7" t="e">
        <f>IF(#REF!="","",IF(AND($CE421&gt;0,#REF!= "GRENACHE N"),#REF!,0))</f>
        <v>#REF!</v>
      </c>
      <c r="CG421" s="7" t="e">
        <f>IF(#REF!="","",IF(AND($CE421&gt;0,#REF!="SYRAH N"),#REF!,0))</f>
        <v>#REF!</v>
      </c>
      <c r="CH421" s="7" t="e">
        <f>IF(#REF!="","",IF(AND($CE421&gt;0,#REF!="CINSAUT N"),#REF!,0))</f>
        <v>#REF!</v>
      </c>
      <c r="CI421" s="7" t="e">
        <f>IF(#REF!="","",IF(AND($CE421&gt;0,#REF!="TIBOUREN N"),#REF!,0))</f>
        <v>#REF!</v>
      </c>
      <c r="CJ421" s="7" t="e">
        <f>IF(#REF!="","",IF(AND($CE421&gt;0,#REF!="MOURVEDRE N"),#REF!,0))</f>
        <v>#REF!</v>
      </c>
      <c r="CK421" s="7" t="e">
        <f>IF(#REF!="","",IF(AND($CE421&gt;0,#REF!="CARIGNAN N"),#REF!,0))</f>
        <v>#REF!</v>
      </c>
      <c r="CL421" s="7" t="e">
        <f>IF(#REF!="","",IF(AND($CE421&gt;0,#REF!="CABERNET SAUVIGNON N"),#REF!,0))</f>
        <v>#REF!</v>
      </c>
      <c r="CM421" s="7" t="e">
        <f>IF(#REF!="","",IF(AND($CE421&gt;0,#REF!="VERMENTINO B"),#REF!,0))</f>
        <v>#REF!</v>
      </c>
      <c r="CN421" s="7" t="e">
        <f>IF(#REF!="","",IF(AND($CE421&gt;0,#REF!="UGNI BLANC B"),#REF!,0))</f>
        <v>#REF!</v>
      </c>
      <c r="CO421" s="7" t="e">
        <f>IF(#REF!="","",IF(AND($CE421&gt;0,#REF!="CLAIRETTE B"),#REF!,0))</f>
        <v>#REF!</v>
      </c>
      <c r="CP421" s="7" t="e">
        <f>IF(#REF!="","",IF(AND($CE421&gt;0,#REF!="semillon B"),#REF!,0))</f>
        <v>#REF!</v>
      </c>
      <c r="CQ421" s="7" t="e">
        <f>IF(#REF!="","",IF(CE421=0,CC421,0))</f>
        <v>#REF!</v>
      </c>
      <c r="CR421" s="17"/>
      <c r="DE421"/>
    </row>
    <row r="422" spans="81:109" x14ac:dyDescent="0.25">
      <c r="CC422" s="7" t="e">
        <f>IF(#REF!="","",IF(#REF!="PF",#REF!,0))</f>
        <v>#REF!</v>
      </c>
      <c r="CD422" s="7" t="e">
        <f>IF(#REF!="","",IF(#REF!="PF",IF((#REF!+4)&lt;YEAR(#REF!),0,#REF!),0))</f>
        <v>#REF!</v>
      </c>
      <c r="CE422" s="7" t="e">
        <f>IF(#REF!="","",IF(AND(CD422&gt;0,#REF!&lt;&gt;""),CC422,0))</f>
        <v>#REF!</v>
      </c>
      <c r="CF422" s="7" t="e">
        <f>IF(#REF!="","",IF(AND($CE422&gt;0,#REF!= "GRENACHE N"),#REF!,0))</f>
        <v>#REF!</v>
      </c>
      <c r="CG422" s="7" t="e">
        <f>IF(#REF!="","",IF(AND($CE422&gt;0,#REF!="SYRAH N"),#REF!,0))</f>
        <v>#REF!</v>
      </c>
      <c r="CH422" s="7" t="e">
        <f>IF(#REF!="","",IF(AND($CE422&gt;0,#REF!="CINSAUT N"),#REF!,0))</f>
        <v>#REF!</v>
      </c>
      <c r="CI422" s="7" t="e">
        <f>IF(#REF!="","",IF(AND($CE422&gt;0,#REF!="TIBOUREN N"),#REF!,0))</f>
        <v>#REF!</v>
      </c>
      <c r="CJ422" s="7" t="e">
        <f>IF(#REF!="","",IF(AND($CE422&gt;0,#REF!="MOURVEDRE N"),#REF!,0))</f>
        <v>#REF!</v>
      </c>
      <c r="CK422" s="7" t="e">
        <f>IF(#REF!="","",IF(AND($CE422&gt;0,#REF!="CARIGNAN N"),#REF!,0))</f>
        <v>#REF!</v>
      </c>
      <c r="CL422" s="7" t="e">
        <f>IF(#REF!="","",IF(AND($CE422&gt;0,#REF!="CABERNET SAUVIGNON N"),#REF!,0))</f>
        <v>#REF!</v>
      </c>
      <c r="CM422" s="7" t="e">
        <f>IF(#REF!="","",IF(AND($CE422&gt;0,#REF!="VERMENTINO B"),#REF!,0))</f>
        <v>#REF!</v>
      </c>
      <c r="CN422" s="7" t="e">
        <f>IF(#REF!="","",IF(AND($CE422&gt;0,#REF!="UGNI BLANC B"),#REF!,0))</f>
        <v>#REF!</v>
      </c>
      <c r="CO422" s="7" t="e">
        <f>IF(#REF!="","",IF(AND($CE422&gt;0,#REF!="CLAIRETTE B"),#REF!,0))</f>
        <v>#REF!</v>
      </c>
      <c r="CP422" s="7" t="e">
        <f>IF(#REF!="","",IF(AND($CE422&gt;0,#REF!="semillon B"),#REF!,0))</f>
        <v>#REF!</v>
      </c>
      <c r="CQ422" s="7" t="e">
        <f>IF(#REF!="","",IF(CE422=0,CC422,0))</f>
        <v>#REF!</v>
      </c>
      <c r="CR422" s="17"/>
      <c r="DE422"/>
    </row>
    <row r="423" spans="81:109" x14ac:dyDescent="0.25">
      <c r="CC423" s="7" t="e">
        <f>IF(#REF!="","",IF(#REF!="PF",#REF!,0))</f>
        <v>#REF!</v>
      </c>
      <c r="CD423" s="7" t="e">
        <f>IF(#REF!="","",IF(#REF!="PF",IF((#REF!+4)&lt;YEAR(#REF!),0,#REF!),0))</f>
        <v>#REF!</v>
      </c>
      <c r="CE423" s="7" t="e">
        <f>IF(#REF!="","",IF(AND(CD423&gt;0,#REF!&lt;&gt;""),CC423,0))</f>
        <v>#REF!</v>
      </c>
      <c r="CF423" s="7" t="e">
        <f>IF(#REF!="","",IF(AND($CE423&gt;0,#REF!= "GRENACHE N"),#REF!,0))</f>
        <v>#REF!</v>
      </c>
      <c r="CG423" s="7" t="e">
        <f>IF(#REF!="","",IF(AND($CE423&gt;0,#REF!="SYRAH N"),#REF!,0))</f>
        <v>#REF!</v>
      </c>
      <c r="CH423" s="7" t="e">
        <f>IF(#REF!="","",IF(AND($CE423&gt;0,#REF!="CINSAUT N"),#REF!,0))</f>
        <v>#REF!</v>
      </c>
      <c r="CI423" s="7" t="e">
        <f>IF(#REF!="","",IF(AND($CE423&gt;0,#REF!="TIBOUREN N"),#REF!,0))</f>
        <v>#REF!</v>
      </c>
      <c r="CJ423" s="7" t="e">
        <f>IF(#REF!="","",IF(AND($CE423&gt;0,#REF!="MOURVEDRE N"),#REF!,0))</f>
        <v>#REF!</v>
      </c>
      <c r="CK423" s="7" t="e">
        <f>IF(#REF!="","",IF(AND($CE423&gt;0,#REF!="CARIGNAN N"),#REF!,0))</f>
        <v>#REF!</v>
      </c>
      <c r="CL423" s="7" t="e">
        <f>IF(#REF!="","",IF(AND($CE423&gt;0,#REF!="CABERNET SAUVIGNON N"),#REF!,0))</f>
        <v>#REF!</v>
      </c>
      <c r="CM423" s="7" t="e">
        <f>IF(#REF!="","",IF(AND($CE423&gt;0,#REF!="VERMENTINO B"),#REF!,0))</f>
        <v>#REF!</v>
      </c>
      <c r="CN423" s="7" t="e">
        <f>IF(#REF!="","",IF(AND($CE423&gt;0,#REF!="UGNI BLANC B"),#REF!,0))</f>
        <v>#REF!</v>
      </c>
      <c r="CO423" s="7" t="e">
        <f>IF(#REF!="","",IF(AND($CE423&gt;0,#REF!="CLAIRETTE B"),#REF!,0))</f>
        <v>#REF!</v>
      </c>
      <c r="CP423" s="7" t="e">
        <f>IF(#REF!="","",IF(AND($CE423&gt;0,#REF!="semillon B"),#REF!,0))</f>
        <v>#REF!</v>
      </c>
      <c r="CQ423" s="7" t="e">
        <f>IF(#REF!="","",IF(CE423=0,CC423,0))</f>
        <v>#REF!</v>
      </c>
      <c r="CR423" s="17"/>
      <c r="DE423"/>
    </row>
    <row r="424" spans="81:109" x14ac:dyDescent="0.25">
      <c r="CC424" s="7" t="e">
        <f>IF(#REF!="","",IF(#REF!="PF",#REF!,0))</f>
        <v>#REF!</v>
      </c>
      <c r="CD424" s="7" t="e">
        <f>IF(#REF!="","",IF(#REF!="PF",IF((#REF!+4)&lt;YEAR(#REF!),0,#REF!),0))</f>
        <v>#REF!</v>
      </c>
      <c r="CE424" s="7" t="e">
        <f>IF(#REF!="","",IF(AND(CD424&gt;0,#REF!&lt;&gt;""),CC424,0))</f>
        <v>#REF!</v>
      </c>
      <c r="CF424" s="7" t="e">
        <f>IF(#REF!="","",IF(AND($CE424&gt;0,#REF!= "GRENACHE N"),#REF!,0))</f>
        <v>#REF!</v>
      </c>
      <c r="CG424" s="7" t="e">
        <f>IF(#REF!="","",IF(AND($CE424&gt;0,#REF!="SYRAH N"),#REF!,0))</f>
        <v>#REF!</v>
      </c>
      <c r="CH424" s="7" t="e">
        <f>IF(#REF!="","",IF(AND($CE424&gt;0,#REF!="CINSAUT N"),#REF!,0))</f>
        <v>#REF!</v>
      </c>
      <c r="CI424" s="7" t="e">
        <f>IF(#REF!="","",IF(AND($CE424&gt;0,#REF!="TIBOUREN N"),#REF!,0))</f>
        <v>#REF!</v>
      </c>
      <c r="CJ424" s="7" t="e">
        <f>IF(#REF!="","",IF(AND($CE424&gt;0,#REF!="MOURVEDRE N"),#REF!,0))</f>
        <v>#REF!</v>
      </c>
      <c r="CK424" s="7" t="e">
        <f>IF(#REF!="","",IF(AND($CE424&gt;0,#REF!="CARIGNAN N"),#REF!,0))</f>
        <v>#REF!</v>
      </c>
      <c r="CL424" s="7" t="e">
        <f>IF(#REF!="","",IF(AND($CE424&gt;0,#REF!="CABERNET SAUVIGNON N"),#REF!,0))</f>
        <v>#REF!</v>
      </c>
      <c r="CM424" s="7" t="e">
        <f>IF(#REF!="","",IF(AND($CE424&gt;0,#REF!="VERMENTINO B"),#REF!,0))</f>
        <v>#REF!</v>
      </c>
      <c r="CN424" s="7" t="e">
        <f>IF(#REF!="","",IF(AND($CE424&gt;0,#REF!="UGNI BLANC B"),#REF!,0))</f>
        <v>#REF!</v>
      </c>
      <c r="CO424" s="7" t="e">
        <f>IF(#REF!="","",IF(AND($CE424&gt;0,#REF!="CLAIRETTE B"),#REF!,0))</f>
        <v>#REF!</v>
      </c>
      <c r="CP424" s="7" t="e">
        <f>IF(#REF!="","",IF(AND($CE424&gt;0,#REF!="semillon B"),#REF!,0))</f>
        <v>#REF!</v>
      </c>
      <c r="CQ424" s="7" t="e">
        <f>IF(#REF!="","",IF(CE424=0,CC424,0))</f>
        <v>#REF!</v>
      </c>
      <c r="CR424" s="17"/>
      <c r="DE424"/>
    </row>
    <row r="425" spans="81:109" x14ac:dyDescent="0.25">
      <c r="CC425" s="7" t="e">
        <f>IF(#REF!="","",IF(#REF!="PF",#REF!,0))</f>
        <v>#REF!</v>
      </c>
      <c r="CD425" s="7" t="e">
        <f>IF(#REF!="","",IF(#REF!="PF",IF((#REF!+4)&lt;YEAR(#REF!),0,#REF!),0))</f>
        <v>#REF!</v>
      </c>
      <c r="CE425" s="7" t="e">
        <f>IF(#REF!="","",IF(AND(CD425&gt;0,#REF!&lt;&gt;""),CC425,0))</f>
        <v>#REF!</v>
      </c>
      <c r="CF425" s="7" t="e">
        <f>IF(#REF!="","",IF(AND($CE425&gt;0,#REF!= "GRENACHE N"),#REF!,0))</f>
        <v>#REF!</v>
      </c>
      <c r="CG425" s="7" t="e">
        <f>IF(#REF!="","",IF(AND($CE425&gt;0,#REF!="SYRAH N"),#REF!,0))</f>
        <v>#REF!</v>
      </c>
      <c r="CH425" s="7" t="e">
        <f>IF(#REF!="","",IF(AND($CE425&gt;0,#REF!="CINSAUT N"),#REF!,0))</f>
        <v>#REF!</v>
      </c>
      <c r="CI425" s="7" t="e">
        <f>IF(#REF!="","",IF(AND($CE425&gt;0,#REF!="TIBOUREN N"),#REF!,0))</f>
        <v>#REF!</v>
      </c>
      <c r="CJ425" s="7" t="e">
        <f>IF(#REF!="","",IF(AND($CE425&gt;0,#REF!="MOURVEDRE N"),#REF!,0))</f>
        <v>#REF!</v>
      </c>
      <c r="CK425" s="7" t="e">
        <f>IF(#REF!="","",IF(AND($CE425&gt;0,#REF!="CARIGNAN N"),#REF!,0))</f>
        <v>#REF!</v>
      </c>
      <c r="CL425" s="7" t="e">
        <f>IF(#REF!="","",IF(AND($CE425&gt;0,#REF!="CABERNET SAUVIGNON N"),#REF!,0))</f>
        <v>#REF!</v>
      </c>
      <c r="CM425" s="7" t="e">
        <f>IF(#REF!="","",IF(AND($CE425&gt;0,#REF!="VERMENTINO B"),#REF!,0))</f>
        <v>#REF!</v>
      </c>
      <c r="CN425" s="7" t="e">
        <f>IF(#REF!="","",IF(AND($CE425&gt;0,#REF!="UGNI BLANC B"),#REF!,0))</f>
        <v>#REF!</v>
      </c>
      <c r="CO425" s="7" t="e">
        <f>IF(#REF!="","",IF(AND($CE425&gt;0,#REF!="CLAIRETTE B"),#REF!,0))</f>
        <v>#REF!</v>
      </c>
      <c r="CP425" s="7" t="e">
        <f>IF(#REF!="","",IF(AND($CE425&gt;0,#REF!="semillon B"),#REF!,0))</f>
        <v>#REF!</v>
      </c>
      <c r="CQ425" s="7" t="e">
        <f>IF(#REF!="","",IF(CE425=0,CC425,0))</f>
        <v>#REF!</v>
      </c>
      <c r="CR425" s="17"/>
      <c r="DE425"/>
    </row>
    <row r="426" spans="81:109" x14ac:dyDescent="0.25">
      <c r="CC426" s="7" t="e">
        <f>IF(#REF!="","",IF(#REF!="PF",#REF!,0))</f>
        <v>#REF!</v>
      </c>
      <c r="CD426" s="7" t="e">
        <f>IF(#REF!="","",IF(#REF!="PF",IF((#REF!+4)&lt;YEAR(#REF!),0,#REF!),0))</f>
        <v>#REF!</v>
      </c>
      <c r="CE426" s="7" t="e">
        <f>IF(#REF!="","",IF(AND(CD426&gt;0,#REF!&lt;&gt;""),CC426,0))</f>
        <v>#REF!</v>
      </c>
      <c r="CF426" s="7" t="e">
        <f>IF(#REF!="","",IF(AND($CE426&gt;0,#REF!= "GRENACHE N"),#REF!,0))</f>
        <v>#REF!</v>
      </c>
      <c r="CG426" s="7" t="e">
        <f>IF(#REF!="","",IF(AND($CE426&gt;0,#REF!="SYRAH N"),#REF!,0))</f>
        <v>#REF!</v>
      </c>
      <c r="CH426" s="7" t="e">
        <f>IF(#REF!="","",IF(AND($CE426&gt;0,#REF!="CINSAUT N"),#REF!,0))</f>
        <v>#REF!</v>
      </c>
      <c r="CI426" s="7" t="e">
        <f>IF(#REF!="","",IF(AND($CE426&gt;0,#REF!="TIBOUREN N"),#REF!,0))</f>
        <v>#REF!</v>
      </c>
      <c r="CJ426" s="7" t="e">
        <f>IF(#REF!="","",IF(AND($CE426&gt;0,#REF!="MOURVEDRE N"),#REF!,0))</f>
        <v>#REF!</v>
      </c>
      <c r="CK426" s="7" t="e">
        <f>IF(#REF!="","",IF(AND($CE426&gt;0,#REF!="CARIGNAN N"),#REF!,0))</f>
        <v>#REF!</v>
      </c>
      <c r="CL426" s="7" t="e">
        <f>IF(#REF!="","",IF(AND($CE426&gt;0,#REF!="CABERNET SAUVIGNON N"),#REF!,0))</f>
        <v>#REF!</v>
      </c>
      <c r="CM426" s="7" t="e">
        <f>IF(#REF!="","",IF(AND($CE426&gt;0,#REF!="VERMENTINO B"),#REF!,0))</f>
        <v>#REF!</v>
      </c>
      <c r="CN426" s="7" t="e">
        <f>IF(#REF!="","",IF(AND($CE426&gt;0,#REF!="UGNI BLANC B"),#REF!,0))</f>
        <v>#REF!</v>
      </c>
      <c r="CO426" s="7" t="e">
        <f>IF(#REF!="","",IF(AND($CE426&gt;0,#REF!="CLAIRETTE B"),#REF!,0))</f>
        <v>#REF!</v>
      </c>
      <c r="CP426" s="7" t="e">
        <f>IF(#REF!="","",IF(AND($CE426&gt;0,#REF!="semillon B"),#REF!,0))</f>
        <v>#REF!</v>
      </c>
      <c r="CQ426" s="7" t="e">
        <f>IF(#REF!="","",IF(CE426=0,CC426,0))</f>
        <v>#REF!</v>
      </c>
      <c r="CR426" s="17"/>
      <c r="DE426"/>
    </row>
    <row r="427" spans="81:109" x14ac:dyDescent="0.25">
      <c r="CC427" s="7" t="e">
        <f>IF(#REF!="","",IF(#REF!="PF",#REF!,0))</f>
        <v>#REF!</v>
      </c>
      <c r="CD427" s="7" t="e">
        <f>IF(#REF!="","",IF(#REF!="PF",IF((#REF!+4)&lt;YEAR(#REF!),0,#REF!),0))</f>
        <v>#REF!</v>
      </c>
      <c r="CE427" s="7" t="e">
        <f>IF(#REF!="","",IF(AND(CD427&gt;0,#REF!&lt;&gt;""),CC427,0))</f>
        <v>#REF!</v>
      </c>
      <c r="CF427" s="7" t="e">
        <f>IF(#REF!="","",IF(AND($CE427&gt;0,#REF!= "GRENACHE N"),#REF!,0))</f>
        <v>#REF!</v>
      </c>
      <c r="CG427" s="7" t="e">
        <f>IF(#REF!="","",IF(AND($CE427&gt;0,#REF!="SYRAH N"),#REF!,0))</f>
        <v>#REF!</v>
      </c>
      <c r="CH427" s="7" t="e">
        <f>IF(#REF!="","",IF(AND($CE427&gt;0,#REF!="CINSAUT N"),#REF!,0))</f>
        <v>#REF!</v>
      </c>
      <c r="CI427" s="7" t="e">
        <f>IF(#REF!="","",IF(AND($CE427&gt;0,#REF!="TIBOUREN N"),#REF!,0))</f>
        <v>#REF!</v>
      </c>
      <c r="CJ427" s="7" t="e">
        <f>IF(#REF!="","",IF(AND($CE427&gt;0,#REF!="MOURVEDRE N"),#REF!,0))</f>
        <v>#REF!</v>
      </c>
      <c r="CK427" s="7" t="e">
        <f>IF(#REF!="","",IF(AND($CE427&gt;0,#REF!="CARIGNAN N"),#REF!,0))</f>
        <v>#REF!</v>
      </c>
      <c r="CL427" s="7" t="e">
        <f>IF(#REF!="","",IF(AND($CE427&gt;0,#REF!="CABERNET SAUVIGNON N"),#REF!,0))</f>
        <v>#REF!</v>
      </c>
      <c r="CM427" s="7" t="e">
        <f>IF(#REF!="","",IF(AND($CE427&gt;0,#REF!="VERMENTINO B"),#REF!,0))</f>
        <v>#REF!</v>
      </c>
      <c r="CN427" s="7" t="e">
        <f>IF(#REF!="","",IF(AND($CE427&gt;0,#REF!="UGNI BLANC B"),#REF!,0))</f>
        <v>#REF!</v>
      </c>
      <c r="CO427" s="7" t="e">
        <f>IF(#REF!="","",IF(AND($CE427&gt;0,#REF!="CLAIRETTE B"),#REF!,0))</f>
        <v>#REF!</v>
      </c>
      <c r="CP427" s="7" t="e">
        <f>IF(#REF!="","",IF(AND($CE427&gt;0,#REF!="semillon B"),#REF!,0))</f>
        <v>#REF!</v>
      </c>
      <c r="CQ427" s="7" t="e">
        <f>IF(#REF!="","",IF(CE427=0,CC427,0))</f>
        <v>#REF!</v>
      </c>
      <c r="CR427" s="17"/>
      <c r="DE427"/>
    </row>
    <row r="428" spans="81:109" x14ac:dyDescent="0.25">
      <c r="CC428" s="7" t="e">
        <f>IF(#REF!="","",IF(#REF!="PF",#REF!,0))</f>
        <v>#REF!</v>
      </c>
      <c r="CD428" s="7" t="e">
        <f>IF(#REF!="","",IF(#REF!="PF",IF((#REF!+4)&lt;YEAR(#REF!),0,#REF!),0))</f>
        <v>#REF!</v>
      </c>
      <c r="CE428" s="7" t="e">
        <f>IF(#REF!="","",IF(AND(CD428&gt;0,#REF!&lt;&gt;""),CC428,0))</f>
        <v>#REF!</v>
      </c>
      <c r="CF428" s="7" t="e">
        <f>IF(#REF!="","",IF(AND($CE428&gt;0,#REF!= "GRENACHE N"),#REF!,0))</f>
        <v>#REF!</v>
      </c>
      <c r="CG428" s="7" t="e">
        <f>IF(#REF!="","",IF(AND($CE428&gt;0,#REF!="SYRAH N"),#REF!,0))</f>
        <v>#REF!</v>
      </c>
      <c r="CH428" s="7" t="e">
        <f>IF(#REF!="","",IF(AND($CE428&gt;0,#REF!="CINSAUT N"),#REF!,0))</f>
        <v>#REF!</v>
      </c>
      <c r="CI428" s="7" t="e">
        <f>IF(#REF!="","",IF(AND($CE428&gt;0,#REF!="TIBOUREN N"),#REF!,0))</f>
        <v>#REF!</v>
      </c>
      <c r="CJ428" s="7" t="e">
        <f>IF(#REF!="","",IF(AND($CE428&gt;0,#REF!="MOURVEDRE N"),#REF!,0))</f>
        <v>#REF!</v>
      </c>
      <c r="CK428" s="7" t="e">
        <f>IF(#REF!="","",IF(AND($CE428&gt;0,#REF!="CARIGNAN N"),#REF!,0))</f>
        <v>#REF!</v>
      </c>
      <c r="CL428" s="7" t="e">
        <f>IF(#REF!="","",IF(AND($CE428&gt;0,#REF!="CABERNET SAUVIGNON N"),#REF!,0))</f>
        <v>#REF!</v>
      </c>
      <c r="CM428" s="7" t="e">
        <f>IF(#REF!="","",IF(AND($CE428&gt;0,#REF!="VERMENTINO B"),#REF!,0))</f>
        <v>#REF!</v>
      </c>
      <c r="CN428" s="7" t="e">
        <f>IF(#REF!="","",IF(AND($CE428&gt;0,#REF!="UGNI BLANC B"),#REF!,0))</f>
        <v>#REF!</v>
      </c>
      <c r="CO428" s="7" t="e">
        <f>IF(#REF!="","",IF(AND($CE428&gt;0,#REF!="CLAIRETTE B"),#REF!,0))</f>
        <v>#REF!</v>
      </c>
      <c r="CP428" s="7" t="e">
        <f>IF(#REF!="","",IF(AND($CE428&gt;0,#REF!="semillon B"),#REF!,0))</f>
        <v>#REF!</v>
      </c>
      <c r="CQ428" s="7" t="e">
        <f>IF(#REF!="","",IF(CE428=0,CC428,0))</f>
        <v>#REF!</v>
      </c>
      <c r="CR428" s="17"/>
      <c r="DE428"/>
    </row>
    <row r="429" spans="81:109" x14ac:dyDescent="0.25">
      <c r="CC429" s="7" t="e">
        <f>IF(#REF!="","",IF(#REF!="PF",#REF!,0))</f>
        <v>#REF!</v>
      </c>
      <c r="CD429" s="7" t="e">
        <f>IF(#REF!="","",IF(#REF!="PF",IF((#REF!+4)&lt;YEAR(#REF!),0,#REF!),0))</f>
        <v>#REF!</v>
      </c>
      <c r="CE429" s="7" t="e">
        <f>IF(#REF!="","",IF(AND(CD429&gt;0,#REF!&lt;&gt;""),CC429,0))</f>
        <v>#REF!</v>
      </c>
      <c r="CF429" s="7" t="e">
        <f>IF(#REF!="","",IF(AND($CE429&gt;0,#REF!= "GRENACHE N"),#REF!,0))</f>
        <v>#REF!</v>
      </c>
      <c r="CG429" s="7" t="e">
        <f>IF(#REF!="","",IF(AND($CE429&gt;0,#REF!="SYRAH N"),#REF!,0))</f>
        <v>#REF!</v>
      </c>
      <c r="CH429" s="7" t="e">
        <f>IF(#REF!="","",IF(AND($CE429&gt;0,#REF!="CINSAUT N"),#REF!,0))</f>
        <v>#REF!</v>
      </c>
      <c r="CI429" s="7" t="e">
        <f>IF(#REF!="","",IF(AND($CE429&gt;0,#REF!="TIBOUREN N"),#REF!,0))</f>
        <v>#REF!</v>
      </c>
      <c r="CJ429" s="7" t="e">
        <f>IF(#REF!="","",IF(AND($CE429&gt;0,#REF!="MOURVEDRE N"),#REF!,0))</f>
        <v>#REF!</v>
      </c>
      <c r="CK429" s="7" t="e">
        <f>IF(#REF!="","",IF(AND($CE429&gt;0,#REF!="CARIGNAN N"),#REF!,0))</f>
        <v>#REF!</v>
      </c>
      <c r="CL429" s="7" t="e">
        <f>IF(#REF!="","",IF(AND($CE429&gt;0,#REF!="CABERNET SAUVIGNON N"),#REF!,0))</f>
        <v>#REF!</v>
      </c>
      <c r="CM429" s="7" t="e">
        <f>IF(#REF!="","",IF(AND($CE429&gt;0,#REF!="VERMENTINO B"),#REF!,0))</f>
        <v>#REF!</v>
      </c>
      <c r="CN429" s="7" t="e">
        <f>IF(#REF!="","",IF(AND($CE429&gt;0,#REF!="UGNI BLANC B"),#REF!,0))</f>
        <v>#REF!</v>
      </c>
      <c r="CO429" s="7" t="e">
        <f>IF(#REF!="","",IF(AND($CE429&gt;0,#REF!="CLAIRETTE B"),#REF!,0))</f>
        <v>#REF!</v>
      </c>
      <c r="CP429" s="7" t="e">
        <f>IF(#REF!="","",IF(AND($CE429&gt;0,#REF!="semillon B"),#REF!,0))</f>
        <v>#REF!</v>
      </c>
      <c r="CQ429" s="7" t="e">
        <f>IF(#REF!="","",IF(CE429=0,CC429,0))</f>
        <v>#REF!</v>
      </c>
      <c r="CR429" s="17"/>
      <c r="DE429"/>
    </row>
    <row r="430" spans="81:109" x14ac:dyDescent="0.25">
      <c r="CC430" s="7" t="e">
        <f>IF(#REF!="","",IF(#REF!="PF",#REF!,0))</f>
        <v>#REF!</v>
      </c>
      <c r="CD430" s="7" t="e">
        <f>IF(#REF!="","",IF(#REF!="PF",IF((#REF!+4)&lt;YEAR(#REF!),0,#REF!),0))</f>
        <v>#REF!</v>
      </c>
      <c r="CE430" s="7" t="e">
        <f>IF(#REF!="","",IF(AND(CD430&gt;0,#REF!&lt;&gt;""),CC430,0))</f>
        <v>#REF!</v>
      </c>
      <c r="CF430" s="7" t="e">
        <f>IF(#REF!="","",IF(AND($CE430&gt;0,#REF!= "GRENACHE N"),#REF!,0))</f>
        <v>#REF!</v>
      </c>
      <c r="CG430" s="7" t="e">
        <f>IF(#REF!="","",IF(AND($CE430&gt;0,#REF!="SYRAH N"),#REF!,0))</f>
        <v>#REF!</v>
      </c>
      <c r="CH430" s="7" t="e">
        <f>IF(#REF!="","",IF(AND($CE430&gt;0,#REF!="CINSAUT N"),#REF!,0))</f>
        <v>#REF!</v>
      </c>
      <c r="CI430" s="7" t="e">
        <f>IF(#REF!="","",IF(AND($CE430&gt;0,#REF!="TIBOUREN N"),#REF!,0))</f>
        <v>#REF!</v>
      </c>
      <c r="CJ430" s="7" t="e">
        <f>IF(#REF!="","",IF(AND($CE430&gt;0,#REF!="MOURVEDRE N"),#REF!,0))</f>
        <v>#REF!</v>
      </c>
      <c r="CK430" s="7" t="e">
        <f>IF(#REF!="","",IF(AND($CE430&gt;0,#REF!="CARIGNAN N"),#REF!,0))</f>
        <v>#REF!</v>
      </c>
      <c r="CL430" s="7" t="e">
        <f>IF(#REF!="","",IF(AND($CE430&gt;0,#REF!="CABERNET SAUVIGNON N"),#REF!,0))</f>
        <v>#REF!</v>
      </c>
      <c r="CM430" s="7" t="e">
        <f>IF(#REF!="","",IF(AND($CE430&gt;0,#REF!="VERMENTINO B"),#REF!,0))</f>
        <v>#REF!</v>
      </c>
      <c r="CN430" s="7" t="e">
        <f>IF(#REF!="","",IF(AND($CE430&gt;0,#REF!="UGNI BLANC B"),#REF!,0))</f>
        <v>#REF!</v>
      </c>
      <c r="CO430" s="7" t="e">
        <f>IF(#REF!="","",IF(AND($CE430&gt;0,#REF!="CLAIRETTE B"),#REF!,0))</f>
        <v>#REF!</v>
      </c>
      <c r="CP430" s="7" t="e">
        <f>IF(#REF!="","",IF(AND($CE430&gt;0,#REF!="semillon B"),#REF!,0))</f>
        <v>#REF!</v>
      </c>
      <c r="CQ430" s="7" t="e">
        <f>IF(#REF!="","",IF(CE430=0,CC430,0))</f>
        <v>#REF!</v>
      </c>
      <c r="CR430" s="17"/>
      <c r="DE430"/>
    </row>
    <row r="431" spans="81:109" x14ac:dyDescent="0.25">
      <c r="CC431" s="7" t="e">
        <f>IF(#REF!="","",IF(#REF!="PF",#REF!,0))</f>
        <v>#REF!</v>
      </c>
      <c r="CD431" s="7" t="e">
        <f>IF(#REF!="","",IF(#REF!="PF",IF((#REF!+4)&lt;YEAR(#REF!),0,#REF!),0))</f>
        <v>#REF!</v>
      </c>
      <c r="CE431" s="7" t="e">
        <f>IF(#REF!="","",IF(AND(CD431&gt;0,#REF!&lt;&gt;""),CC431,0))</f>
        <v>#REF!</v>
      </c>
      <c r="CF431" s="7" t="e">
        <f>IF(#REF!="","",IF(AND($CE431&gt;0,#REF!= "GRENACHE N"),#REF!,0))</f>
        <v>#REF!</v>
      </c>
      <c r="CG431" s="7" t="e">
        <f>IF(#REF!="","",IF(AND($CE431&gt;0,#REF!="SYRAH N"),#REF!,0))</f>
        <v>#REF!</v>
      </c>
      <c r="CH431" s="7" t="e">
        <f>IF(#REF!="","",IF(AND($CE431&gt;0,#REF!="CINSAUT N"),#REF!,0))</f>
        <v>#REF!</v>
      </c>
      <c r="CI431" s="7" t="e">
        <f>IF(#REF!="","",IF(AND($CE431&gt;0,#REF!="TIBOUREN N"),#REF!,0))</f>
        <v>#REF!</v>
      </c>
      <c r="CJ431" s="7" t="e">
        <f>IF(#REF!="","",IF(AND($CE431&gt;0,#REF!="MOURVEDRE N"),#REF!,0))</f>
        <v>#REF!</v>
      </c>
      <c r="CK431" s="7" t="e">
        <f>IF(#REF!="","",IF(AND($CE431&gt;0,#REF!="CARIGNAN N"),#REF!,0))</f>
        <v>#REF!</v>
      </c>
      <c r="CL431" s="7" t="e">
        <f>IF(#REF!="","",IF(AND($CE431&gt;0,#REF!="CABERNET SAUVIGNON N"),#REF!,0))</f>
        <v>#REF!</v>
      </c>
      <c r="CM431" s="7" t="e">
        <f>IF(#REF!="","",IF(AND($CE431&gt;0,#REF!="VERMENTINO B"),#REF!,0))</f>
        <v>#REF!</v>
      </c>
      <c r="CN431" s="7" t="e">
        <f>IF(#REF!="","",IF(AND($CE431&gt;0,#REF!="UGNI BLANC B"),#REF!,0))</f>
        <v>#REF!</v>
      </c>
      <c r="CO431" s="7" t="e">
        <f>IF(#REF!="","",IF(AND($CE431&gt;0,#REF!="CLAIRETTE B"),#REF!,0))</f>
        <v>#REF!</v>
      </c>
      <c r="CP431" s="7" t="e">
        <f>IF(#REF!="","",IF(AND($CE431&gt;0,#REF!="semillon B"),#REF!,0))</f>
        <v>#REF!</v>
      </c>
      <c r="CQ431" s="7" t="e">
        <f>IF(#REF!="","",IF(CE431=0,CC431,0))</f>
        <v>#REF!</v>
      </c>
      <c r="CR431" s="17"/>
      <c r="DE431"/>
    </row>
    <row r="432" spans="81:109" x14ac:dyDescent="0.25">
      <c r="CC432" s="7" t="e">
        <f>IF(#REF!="","",IF(#REF!="PF",#REF!,0))</f>
        <v>#REF!</v>
      </c>
      <c r="CD432" s="7" t="e">
        <f>IF(#REF!="","",IF(#REF!="PF",IF((#REF!+4)&lt;YEAR(#REF!),0,#REF!),0))</f>
        <v>#REF!</v>
      </c>
      <c r="CE432" s="7" t="e">
        <f>IF(#REF!="","",IF(AND(CD432&gt;0,#REF!&lt;&gt;""),CC432,0))</f>
        <v>#REF!</v>
      </c>
      <c r="CF432" s="7" t="e">
        <f>IF(#REF!="","",IF(AND($CE432&gt;0,#REF!= "GRENACHE N"),#REF!,0))</f>
        <v>#REF!</v>
      </c>
      <c r="CG432" s="7" t="e">
        <f>IF(#REF!="","",IF(AND($CE432&gt;0,#REF!="SYRAH N"),#REF!,0))</f>
        <v>#REF!</v>
      </c>
      <c r="CH432" s="7" t="e">
        <f>IF(#REF!="","",IF(AND($CE432&gt;0,#REF!="CINSAUT N"),#REF!,0))</f>
        <v>#REF!</v>
      </c>
      <c r="CI432" s="7" t="e">
        <f>IF(#REF!="","",IF(AND($CE432&gt;0,#REF!="TIBOUREN N"),#REF!,0))</f>
        <v>#REF!</v>
      </c>
      <c r="CJ432" s="7" t="e">
        <f>IF(#REF!="","",IF(AND($CE432&gt;0,#REF!="MOURVEDRE N"),#REF!,0))</f>
        <v>#REF!</v>
      </c>
      <c r="CK432" s="7" t="e">
        <f>IF(#REF!="","",IF(AND($CE432&gt;0,#REF!="CARIGNAN N"),#REF!,0))</f>
        <v>#REF!</v>
      </c>
      <c r="CL432" s="7" t="e">
        <f>IF(#REF!="","",IF(AND($CE432&gt;0,#REF!="CABERNET SAUVIGNON N"),#REF!,0))</f>
        <v>#REF!</v>
      </c>
      <c r="CM432" s="7" t="e">
        <f>IF(#REF!="","",IF(AND($CE432&gt;0,#REF!="VERMENTINO B"),#REF!,0))</f>
        <v>#REF!</v>
      </c>
      <c r="CN432" s="7" t="e">
        <f>IF(#REF!="","",IF(AND($CE432&gt;0,#REF!="UGNI BLANC B"),#REF!,0))</f>
        <v>#REF!</v>
      </c>
      <c r="CO432" s="7" t="e">
        <f>IF(#REF!="","",IF(AND($CE432&gt;0,#REF!="CLAIRETTE B"),#REF!,0))</f>
        <v>#REF!</v>
      </c>
      <c r="CP432" s="7" t="e">
        <f>IF(#REF!="","",IF(AND($CE432&gt;0,#REF!="semillon B"),#REF!,0))</f>
        <v>#REF!</v>
      </c>
      <c r="CQ432" s="7" t="e">
        <f>IF(#REF!="","",IF(CE432=0,CC432,0))</f>
        <v>#REF!</v>
      </c>
      <c r="CR432" s="17"/>
      <c r="DE432"/>
    </row>
    <row r="433" spans="81:109" x14ac:dyDescent="0.25">
      <c r="CC433" s="7" t="e">
        <f>IF(#REF!="","",IF(#REF!="PF",#REF!,0))</f>
        <v>#REF!</v>
      </c>
      <c r="CD433" s="7" t="e">
        <f>IF(#REF!="","",IF(#REF!="PF",IF((#REF!+4)&lt;YEAR(#REF!),0,#REF!),0))</f>
        <v>#REF!</v>
      </c>
      <c r="CE433" s="7" t="e">
        <f>IF(#REF!="","",IF(AND(CD433&gt;0,#REF!&lt;&gt;""),CC433,0))</f>
        <v>#REF!</v>
      </c>
      <c r="CF433" s="7" t="e">
        <f>IF(#REF!="","",IF(AND($CE433&gt;0,#REF!= "GRENACHE N"),#REF!,0))</f>
        <v>#REF!</v>
      </c>
      <c r="CG433" s="7" t="e">
        <f>IF(#REF!="","",IF(AND($CE433&gt;0,#REF!="SYRAH N"),#REF!,0))</f>
        <v>#REF!</v>
      </c>
      <c r="CH433" s="7" t="e">
        <f>IF(#REF!="","",IF(AND($CE433&gt;0,#REF!="CINSAUT N"),#REF!,0))</f>
        <v>#REF!</v>
      </c>
      <c r="CI433" s="7" t="e">
        <f>IF(#REF!="","",IF(AND($CE433&gt;0,#REF!="TIBOUREN N"),#REF!,0))</f>
        <v>#REF!</v>
      </c>
      <c r="CJ433" s="7" t="e">
        <f>IF(#REF!="","",IF(AND($CE433&gt;0,#REF!="MOURVEDRE N"),#REF!,0))</f>
        <v>#REF!</v>
      </c>
      <c r="CK433" s="7" t="e">
        <f>IF(#REF!="","",IF(AND($CE433&gt;0,#REF!="CARIGNAN N"),#REF!,0))</f>
        <v>#REF!</v>
      </c>
      <c r="CL433" s="7" t="e">
        <f>IF(#REF!="","",IF(AND($CE433&gt;0,#REF!="CABERNET SAUVIGNON N"),#REF!,0))</f>
        <v>#REF!</v>
      </c>
      <c r="CM433" s="7" t="e">
        <f>IF(#REF!="","",IF(AND($CE433&gt;0,#REF!="VERMENTINO B"),#REF!,0))</f>
        <v>#REF!</v>
      </c>
      <c r="CN433" s="7" t="e">
        <f>IF(#REF!="","",IF(AND($CE433&gt;0,#REF!="UGNI BLANC B"),#REF!,0))</f>
        <v>#REF!</v>
      </c>
      <c r="CO433" s="7" t="e">
        <f>IF(#REF!="","",IF(AND($CE433&gt;0,#REF!="CLAIRETTE B"),#REF!,0))</f>
        <v>#REF!</v>
      </c>
      <c r="CP433" s="7" t="e">
        <f>IF(#REF!="","",IF(AND($CE433&gt;0,#REF!="semillon B"),#REF!,0))</f>
        <v>#REF!</v>
      </c>
      <c r="CQ433" s="7" t="e">
        <f>IF(#REF!="","",IF(CE433=0,CC433,0))</f>
        <v>#REF!</v>
      </c>
      <c r="CR433" s="17"/>
      <c r="DE433"/>
    </row>
    <row r="434" spans="81:109" x14ac:dyDescent="0.25">
      <c r="CC434" s="7" t="e">
        <f>IF(#REF!="","",IF(#REF!="PF",#REF!,0))</f>
        <v>#REF!</v>
      </c>
      <c r="CD434" s="7" t="e">
        <f>IF(#REF!="","",IF(#REF!="PF",IF((#REF!+4)&lt;YEAR(#REF!),0,#REF!),0))</f>
        <v>#REF!</v>
      </c>
      <c r="CE434" s="7" t="e">
        <f>IF(#REF!="","",IF(AND(CD434&gt;0,#REF!&lt;&gt;""),CC434,0))</f>
        <v>#REF!</v>
      </c>
      <c r="CF434" s="7" t="e">
        <f>IF(#REF!="","",IF(AND($CE434&gt;0,#REF!= "GRENACHE N"),#REF!,0))</f>
        <v>#REF!</v>
      </c>
      <c r="CG434" s="7" t="e">
        <f>IF(#REF!="","",IF(AND($CE434&gt;0,#REF!="SYRAH N"),#REF!,0))</f>
        <v>#REF!</v>
      </c>
      <c r="CH434" s="7" t="e">
        <f>IF(#REF!="","",IF(AND($CE434&gt;0,#REF!="CINSAUT N"),#REF!,0))</f>
        <v>#REF!</v>
      </c>
      <c r="CI434" s="7" t="e">
        <f>IF(#REF!="","",IF(AND($CE434&gt;0,#REF!="TIBOUREN N"),#REF!,0))</f>
        <v>#REF!</v>
      </c>
      <c r="CJ434" s="7" t="e">
        <f>IF(#REF!="","",IF(AND($CE434&gt;0,#REF!="MOURVEDRE N"),#REF!,0))</f>
        <v>#REF!</v>
      </c>
      <c r="CK434" s="7" t="e">
        <f>IF(#REF!="","",IF(AND($CE434&gt;0,#REF!="CARIGNAN N"),#REF!,0))</f>
        <v>#REF!</v>
      </c>
      <c r="CL434" s="7" t="e">
        <f>IF(#REF!="","",IF(AND($CE434&gt;0,#REF!="CABERNET SAUVIGNON N"),#REF!,0))</f>
        <v>#REF!</v>
      </c>
      <c r="CM434" s="7" t="e">
        <f>IF(#REF!="","",IF(AND($CE434&gt;0,#REF!="VERMENTINO B"),#REF!,0))</f>
        <v>#REF!</v>
      </c>
      <c r="CN434" s="7" t="e">
        <f>IF(#REF!="","",IF(AND($CE434&gt;0,#REF!="UGNI BLANC B"),#REF!,0))</f>
        <v>#REF!</v>
      </c>
      <c r="CO434" s="7" t="e">
        <f>IF(#REF!="","",IF(AND($CE434&gt;0,#REF!="CLAIRETTE B"),#REF!,0))</f>
        <v>#REF!</v>
      </c>
      <c r="CP434" s="7" t="e">
        <f>IF(#REF!="","",IF(AND($CE434&gt;0,#REF!="semillon B"),#REF!,0))</f>
        <v>#REF!</v>
      </c>
      <c r="CQ434" s="7" t="e">
        <f>IF(#REF!="","",IF(CE434=0,CC434,0))</f>
        <v>#REF!</v>
      </c>
      <c r="CR434" s="17"/>
      <c r="DE434"/>
    </row>
    <row r="435" spans="81:109" x14ac:dyDescent="0.25">
      <c r="CC435" s="7" t="e">
        <f>IF(#REF!="","",IF(#REF!="PF",#REF!,0))</f>
        <v>#REF!</v>
      </c>
      <c r="CD435" s="7" t="e">
        <f>IF(#REF!="","",IF(#REF!="PF",IF((#REF!+4)&lt;YEAR(#REF!),0,#REF!),0))</f>
        <v>#REF!</v>
      </c>
      <c r="CE435" s="7" t="e">
        <f>IF(#REF!="","",IF(AND(CD435&gt;0,#REF!&lt;&gt;""),CC435,0))</f>
        <v>#REF!</v>
      </c>
      <c r="CF435" s="7" t="e">
        <f>IF(#REF!="","",IF(AND($CE435&gt;0,#REF!= "GRENACHE N"),#REF!,0))</f>
        <v>#REF!</v>
      </c>
      <c r="CG435" s="7" t="e">
        <f>IF(#REF!="","",IF(AND($CE435&gt;0,#REF!="SYRAH N"),#REF!,0))</f>
        <v>#REF!</v>
      </c>
      <c r="CH435" s="7" t="e">
        <f>IF(#REF!="","",IF(AND($CE435&gt;0,#REF!="CINSAUT N"),#REF!,0))</f>
        <v>#REF!</v>
      </c>
      <c r="CI435" s="7" t="e">
        <f>IF(#REF!="","",IF(AND($CE435&gt;0,#REF!="TIBOUREN N"),#REF!,0))</f>
        <v>#REF!</v>
      </c>
      <c r="CJ435" s="7" t="e">
        <f>IF(#REF!="","",IF(AND($CE435&gt;0,#REF!="MOURVEDRE N"),#REF!,0))</f>
        <v>#REF!</v>
      </c>
      <c r="CK435" s="7" t="e">
        <f>IF(#REF!="","",IF(AND($CE435&gt;0,#REF!="CARIGNAN N"),#REF!,0))</f>
        <v>#REF!</v>
      </c>
      <c r="CL435" s="7" t="e">
        <f>IF(#REF!="","",IF(AND($CE435&gt;0,#REF!="CABERNET SAUVIGNON N"),#REF!,0))</f>
        <v>#REF!</v>
      </c>
      <c r="CM435" s="7" t="e">
        <f>IF(#REF!="","",IF(AND($CE435&gt;0,#REF!="VERMENTINO B"),#REF!,0))</f>
        <v>#REF!</v>
      </c>
      <c r="CN435" s="7" t="e">
        <f>IF(#REF!="","",IF(AND($CE435&gt;0,#REF!="UGNI BLANC B"),#REF!,0))</f>
        <v>#REF!</v>
      </c>
      <c r="CO435" s="7" t="e">
        <f>IF(#REF!="","",IF(AND($CE435&gt;0,#REF!="CLAIRETTE B"),#REF!,0))</f>
        <v>#REF!</v>
      </c>
      <c r="CP435" s="7" t="e">
        <f>IF(#REF!="","",IF(AND($CE435&gt;0,#REF!="semillon B"),#REF!,0))</f>
        <v>#REF!</v>
      </c>
      <c r="CQ435" s="7" t="e">
        <f>IF(#REF!="","",IF(CE435=0,CC435,0))</f>
        <v>#REF!</v>
      </c>
      <c r="CR435" s="17"/>
      <c r="DE435"/>
    </row>
    <row r="436" spans="81:109" x14ac:dyDescent="0.25">
      <c r="CC436" s="7" t="e">
        <f>IF(#REF!="","",IF(#REF!="PF",#REF!,0))</f>
        <v>#REF!</v>
      </c>
      <c r="CD436" s="7" t="e">
        <f>IF(#REF!="","",IF(#REF!="PF",IF((#REF!+4)&lt;YEAR(#REF!),0,#REF!),0))</f>
        <v>#REF!</v>
      </c>
      <c r="CE436" s="7" t="e">
        <f>IF(#REF!="","",IF(AND(CD436&gt;0,#REF!&lt;&gt;""),CC436,0))</f>
        <v>#REF!</v>
      </c>
      <c r="CF436" s="7" t="e">
        <f>IF(#REF!="","",IF(AND($CE436&gt;0,#REF!= "GRENACHE N"),#REF!,0))</f>
        <v>#REF!</v>
      </c>
      <c r="CG436" s="7" t="e">
        <f>IF(#REF!="","",IF(AND($CE436&gt;0,#REF!="SYRAH N"),#REF!,0))</f>
        <v>#REF!</v>
      </c>
      <c r="CH436" s="7" t="e">
        <f>IF(#REF!="","",IF(AND($CE436&gt;0,#REF!="CINSAUT N"),#REF!,0))</f>
        <v>#REF!</v>
      </c>
      <c r="CI436" s="7" t="e">
        <f>IF(#REF!="","",IF(AND($CE436&gt;0,#REF!="TIBOUREN N"),#REF!,0))</f>
        <v>#REF!</v>
      </c>
      <c r="CJ436" s="7" t="e">
        <f>IF(#REF!="","",IF(AND($CE436&gt;0,#REF!="MOURVEDRE N"),#REF!,0))</f>
        <v>#REF!</v>
      </c>
      <c r="CK436" s="7" t="e">
        <f>IF(#REF!="","",IF(AND($CE436&gt;0,#REF!="CARIGNAN N"),#REF!,0))</f>
        <v>#REF!</v>
      </c>
      <c r="CL436" s="7" t="e">
        <f>IF(#REF!="","",IF(AND($CE436&gt;0,#REF!="CABERNET SAUVIGNON N"),#REF!,0))</f>
        <v>#REF!</v>
      </c>
      <c r="CM436" s="7" t="e">
        <f>IF(#REF!="","",IF(AND($CE436&gt;0,#REF!="VERMENTINO B"),#REF!,0))</f>
        <v>#REF!</v>
      </c>
      <c r="CN436" s="7" t="e">
        <f>IF(#REF!="","",IF(AND($CE436&gt;0,#REF!="UGNI BLANC B"),#REF!,0))</f>
        <v>#REF!</v>
      </c>
      <c r="CO436" s="7" t="e">
        <f>IF(#REF!="","",IF(AND($CE436&gt;0,#REF!="CLAIRETTE B"),#REF!,0))</f>
        <v>#REF!</v>
      </c>
      <c r="CP436" s="7" t="e">
        <f>IF(#REF!="","",IF(AND($CE436&gt;0,#REF!="semillon B"),#REF!,0))</f>
        <v>#REF!</v>
      </c>
      <c r="CQ436" s="7" t="e">
        <f>IF(#REF!="","",IF(CE436=0,CC436,0))</f>
        <v>#REF!</v>
      </c>
      <c r="CR436" s="17"/>
      <c r="DE436"/>
    </row>
    <row r="437" spans="81:109" x14ac:dyDescent="0.25">
      <c r="CC437" s="7" t="e">
        <f>IF(#REF!="","",IF(#REF!="PF",#REF!,0))</f>
        <v>#REF!</v>
      </c>
      <c r="CD437" s="7" t="e">
        <f>IF(#REF!="","",IF(#REF!="PF",IF((#REF!+4)&lt;YEAR(#REF!),0,#REF!),0))</f>
        <v>#REF!</v>
      </c>
      <c r="CE437" s="7" t="e">
        <f>IF(#REF!="","",IF(AND(CD437&gt;0,#REF!&lt;&gt;""),CC437,0))</f>
        <v>#REF!</v>
      </c>
      <c r="CF437" s="7" t="e">
        <f>IF(#REF!="","",IF(AND($CE437&gt;0,#REF!= "GRENACHE N"),#REF!,0))</f>
        <v>#REF!</v>
      </c>
      <c r="CG437" s="7" t="e">
        <f>IF(#REF!="","",IF(AND($CE437&gt;0,#REF!="SYRAH N"),#REF!,0))</f>
        <v>#REF!</v>
      </c>
      <c r="CH437" s="7" t="e">
        <f>IF(#REF!="","",IF(AND($CE437&gt;0,#REF!="CINSAUT N"),#REF!,0))</f>
        <v>#REF!</v>
      </c>
      <c r="CI437" s="7" t="e">
        <f>IF(#REF!="","",IF(AND($CE437&gt;0,#REF!="TIBOUREN N"),#REF!,0))</f>
        <v>#REF!</v>
      </c>
      <c r="CJ437" s="7" t="e">
        <f>IF(#REF!="","",IF(AND($CE437&gt;0,#REF!="MOURVEDRE N"),#REF!,0))</f>
        <v>#REF!</v>
      </c>
      <c r="CK437" s="7" t="e">
        <f>IF(#REF!="","",IF(AND($CE437&gt;0,#REF!="CARIGNAN N"),#REF!,0))</f>
        <v>#REF!</v>
      </c>
      <c r="CL437" s="7" t="e">
        <f>IF(#REF!="","",IF(AND($CE437&gt;0,#REF!="CABERNET SAUVIGNON N"),#REF!,0))</f>
        <v>#REF!</v>
      </c>
      <c r="CM437" s="7" t="e">
        <f>IF(#REF!="","",IF(AND($CE437&gt;0,#REF!="VERMENTINO B"),#REF!,0))</f>
        <v>#REF!</v>
      </c>
      <c r="CN437" s="7" t="e">
        <f>IF(#REF!="","",IF(AND($CE437&gt;0,#REF!="UGNI BLANC B"),#REF!,0))</f>
        <v>#REF!</v>
      </c>
      <c r="CO437" s="7" t="e">
        <f>IF(#REF!="","",IF(AND($CE437&gt;0,#REF!="CLAIRETTE B"),#REF!,0))</f>
        <v>#REF!</v>
      </c>
      <c r="CP437" s="7" t="e">
        <f>IF(#REF!="","",IF(AND($CE437&gt;0,#REF!="semillon B"),#REF!,0))</f>
        <v>#REF!</v>
      </c>
      <c r="CQ437" s="7" t="e">
        <f>IF(#REF!="","",IF(CE437=0,CC437,0))</f>
        <v>#REF!</v>
      </c>
      <c r="CR437" s="17"/>
      <c r="DE437"/>
    </row>
    <row r="438" spans="81:109" x14ac:dyDescent="0.25">
      <c r="CC438" s="7" t="e">
        <f>IF(#REF!="","",IF(#REF!="PF",#REF!,0))</f>
        <v>#REF!</v>
      </c>
      <c r="CD438" s="7" t="e">
        <f>IF(#REF!="","",IF(#REF!="PF",IF((#REF!+4)&lt;YEAR(#REF!),0,#REF!),0))</f>
        <v>#REF!</v>
      </c>
      <c r="CE438" s="7" t="e">
        <f>IF(#REF!="","",IF(AND(CD438&gt;0,#REF!&lt;&gt;""),CC438,0))</f>
        <v>#REF!</v>
      </c>
      <c r="CF438" s="7" t="e">
        <f>IF(#REF!="","",IF(AND($CE438&gt;0,#REF!= "GRENACHE N"),#REF!,0))</f>
        <v>#REF!</v>
      </c>
      <c r="CG438" s="7" t="e">
        <f>IF(#REF!="","",IF(AND($CE438&gt;0,#REF!="SYRAH N"),#REF!,0))</f>
        <v>#REF!</v>
      </c>
      <c r="CH438" s="7" t="e">
        <f>IF(#REF!="","",IF(AND($CE438&gt;0,#REF!="CINSAUT N"),#REF!,0))</f>
        <v>#REF!</v>
      </c>
      <c r="CI438" s="7" t="e">
        <f>IF(#REF!="","",IF(AND($CE438&gt;0,#REF!="TIBOUREN N"),#REF!,0))</f>
        <v>#REF!</v>
      </c>
      <c r="CJ438" s="7" t="e">
        <f>IF(#REF!="","",IF(AND($CE438&gt;0,#REF!="MOURVEDRE N"),#REF!,0))</f>
        <v>#REF!</v>
      </c>
      <c r="CK438" s="7" t="e">
        <f>IF(#REF!="","",IF(AND($CE438&gt;0,#REF!="CARIGNAN N"),#REF!,0))</f>
        <v>#REF!</v>
      </c>
      <c r="CL438" s="7" t="e">
        <f>IF(#REF!="","",IF(AND($CE438&gt;0,#REF!="CABERNET SAUVIGNON N"),#REF!,0))</f>
        <v>#REF!</v>
      </c>
      <c r="CM438" s="7" t="e">
        <f>IF(#REF!="","",IF(AND($CE438&gt;0,#REF!="VERMENTINO B"),#REF!,0))</f>
        <v>#REF!</v>
      </c>
      <c r="CN438" s="7" t="e">
        <f>IF(#REF!="","",IF(AND($CE438&gt;0,#REF!="UGNI BLANC B"),#REF!,0))</f>
        <v>#REF!</v>
      </c>
      <c r="CO438" s="7" t="e">
        <f>IF(#REF!="","",IF(AND($CE438&gt;0,#REF!="CLAIRETTE B"),#REF!,0))</f>
        <v>#REF!</v>
      </c>
      <c r="CP438" s="7" t="e">
        <f>IF(#REF!="","",IF(AND($CE438&gt;0,#REF!="semillon B"),#REF!,0))</f>
        <v>#REF!</v>
      </c>
      <c r="CQ438" s="7" t="e">
        <f>IF(#REF!="","",IF(CE438=0,CC438,0))</f>
        <v>#REF!</v>
      </c>
      <c r="CR438" s="17"/>
      <c r="DE438"/>
    </row>
    <row r="439" spans="81:109" x14ac:dyDescent="0.25">
      <c r="CC439" s="7" t="e">
        <f>IF(#REF!="","",IF(#REF!="PF",#REF!,0))</f>
        <v>#REF!</v>
      </c>
      <c r="CD439" s="7" t="e">
        <f>IF(#REF!="","",IF(#REF!="PF",IF((#REF!+4)&lt;YEAR(#REF!),0,#REF!),0))</f>
        <v>#REF!</v>
      </c>
      <c r="CE439" s="7" t="e">
        <f>IF(#REF!="","",IF(AND(CD439&gt;0,#REF!&lt;&gt;""),CC439,0))</f>
        <v>#REF!</v>
      </c>
      <c r="CF439" s="7" t="e">
        <f>IF(#REF!="","",IF(AND($CE439&gt;0,#REF!= "GRENACHE N"),#REF!,0))</f>
        <v>#REF!</v>
      </c>
      <c r="CG439" s="7" t="e">
        <f>IF(#REF!="","",IF(AND($CE439&gt;0,#REF!="SYRAH N"),#REF!,0))</f>
        <v>#REF!</v>
      </c>
      <c r="CH439" s="7" t="e">
        <f>IF(#REF!="","",IF(AND($CE439&gt;0,#REF!="CINSAUT N"),#REF!,0))</f>
        <v>#REF!</v>
      </c>
      <c r="CI439" s="7" t="e">
        <f>IF(#REF!="","",IF(AND($CE439&gt;0,#REF!="TIBOUREN N"),#REF!,0))</f>
        <v>#REF!</v>
      </c>
      <c r="CJ439" s="7" t="e">
        <f>IF(#REF!="","",IF(AND($CE439&gt;0,#REF!="MOURVEDRE N"),#REF!,0))</f>
        <v>#REF!</v>
      </c>
      <c r="CK439" s="7" t="e">
        <f>IF(#REF!="","",IF(AND($CE439&gt;0,#REF!="CARIGNAN N"),#REF!,0))</f>
        <v>#REF!</v>
      </c>
      <c r="CL439" s="7" t="e">
        <f>IF(#REF!="","",IF(AND($CE439&gt;0,#REF!="CABERNET SAUVIGNON N"),#REF!,0))</f>
        <v>#REF!</v>
      </c>
      <c r="CM439" s="7" t="e">
        <f>IF(#REF!="","",IF(AND($CE439&gt;0,#REF!="VERMENTINO B"),#REF!,0))</f>
        <v>#REF!</v>
      </c>
      <c r="CN439" s="7" t="e">
        <f>IF(#REF!="","",IF(AND($CE439&gt;0,#REF!="UGNI BLANC B"),#REF!,0))</f>
        <v>#REF!</v>
      </c>
      <c r="CO439" s="7" t="e">
        <f>IF(#REF!="","",IF(AND($CE439&gt;0,#REF!="CLAIRETTE B"),#REF!,0))</f>
        <v>#REF!</v>
      </c>
      <c r="CP439" s="7" t="e">
        <f>IF(#REF!="","",IF(AND($CE439&gt;0,#REF!="semillon B"),#REF!,0))</f>
        <v>#REF!</v>
      </c>
      <c r="CQ439" s="7" t="e">
        <f>IF(#REF!="","",IF(CE439=0,CC439,0))</f>
        <v>#REF!</v>
      </c>
      <c r="CR439" s="17"/>
      <c r="DE439"/>
    </row>
    <row r="440" spans="81:109" x14ac:dyDescent="0.25">
      <c r="CC440" s="7" t="e">
        <f>IF(#REF!="","",IF(#REF!="PF",#REF!,0))</f>
        <v>#REF!</v>
      </c>
      <c r="CD440" s="7" t="e">
        <f>IF(#REF!="","",IF(#REF!="PF",IF((#REF!+4)&lt;YEAR(#REF!),0,#REF!),0))</f>
        <v>#REF!</v>
      </c>
      <c r="CE440" s="7" t="e">
        <f>IF(#REF!="","",IF(AND(CD440&gt;0,#REF!&lt;&gt;""),CC440,0))</f>
        <v>#REF!</v>
      </c>
      <c r="CF440" s="7" t="e">
        <f>IF(#REF!="","",IF(AND($CE440&gt;0,#REF!= "GRENACHE N"),#REF!,0))</f>
        <v>#REF!</v>
      </c>
      <c r="CG440" s="7" t="e">
        <f>IF(#REF!="","",IF(AND($CE440&gt;0,#REF!="SYRAH N"),#REF!,0))</f>
        <v>#REF!</v>
      </c>
      <c r="CH440" s="7" t="e">
        <f>IF(#REF!="","",IF(AND($CE440&gt;0,#REF!="CINSAUT N"),#REF!,0))</f>
        <v>#REF!</v>
      </c>
      <c r="CI440" s="7" t="e">
        <f>IF(#REF!="","",IF(AND($CE440&gt;0,#REF!="TIBOUREN N"),#REF!,0))</f>
        <v>#REF!</v>
      </c>
      <c r="CJ440" s="7" t="e">
        <f>IF(#REF!="","",IF(AND($CE440&gt;0,#REF!="MOURVEDRE N"),#REF!,0))</f>
        <v>#REF!</v>
      </c>
      <c r="CK440" s="7" t="e">
        <f>IF(#REF!="","",IF(AND($CE440&gt;0,#REF!="CARIGNAN N"),#REF!,0))</f>
        <v>#REF!</v>
      </c>
      <c r="CL440" s="7" t="e">
        <f>IF(#REF!="","",IF(AND($CE440&gt;0,#REF!="CABERNET SAUVIGNON N"),#REF!,0))</f>
        <v>#REF!</v>
      </c>
      <c r="CM440" s="7" t="e">
        <f>IF(#REF!="","",IF(AND($CE440&gt;0,#REF!="VERMENTINO B"),#REF!,0))</f>
        <v>#REF!</v>
      </c>
      <c r="CN440" s="7" t="e">
        <f>IF(#REF!="","",IF(AND($CE440&gt;0,#REF!="UGNI BLANC B"),#REF!,0))</f>
        <v>#REF!</v>
      </c>
      <c r="CO440" s="7" t="e">
        <f>IF(#REF!="","",IF(AND($CE440&gt;0,#REF!="CLAIRETTE B"),#REF!,0))</f>
        <v>#REF!</v>
      </c>
      <c r="CP440" s="7" t="e">
        <f>IF(#REF!="","",IF(AND($CE440&gt;0,#REF!="semillon B"),#REF!,0))</f>
        <v>#REF!</v>
      </c>
      <c r="CQ440" s="7" t="e">
        <f>IF(#REF!="","",IF(CE440=0,CC440,0))</f>
        <v>#REF!</v>
      </c>
      <c r="CR440" s="17"/>
      <c r="DE440"/>
    </row>
    <row r="441" spans="81:109" x14ac:dyDescent="0.25">
      <c r="CC441" s="7" t="e">
        <f>IF(#REF!="","",IF(#REF!="PF",#REF!,0))</f>
        <v>#REF!</v>
      </c>
      <c r="CD441" s="7" t="e">
        <f>IF(#REF!="","",IF(#REF!="PF",IF((#REF!+4)&lt;YEAR(#REF!),0,#REF!),0))</f>
        <v>#REF!</v>
      </c>
      <c r="CE441" s="7" t="e">
        <f>IF(#REF!="","",IF(AND(CD441&gt;0,#REF!&lt;&gt;""),CC441,0))</f>
        <v>#REF!</v>
      </c>
      <c r="CF441" s="7" t="e">
        <f>IF(#REF!="","",IF(AND($CE441&gt;0,#REF!= "GRENACHE N"),#REF!,0))</f>
        <v>#REF!</v>
      </c>
      <c r="CG441" s="7" t="e">
        <f>IF(#REF!="","",IF(AND($CE441&gt;0,#REF!="SYRAH N"),#REF!,0))</f>
        <v>#REF!</v>
      </c>
      <c r="CH441" s="7" t="e">
        <f>IF(#REF!="","",IF(AND($CE441&gt;0,#REF!="CINSAUT N"),#REF!,0))</f>
        <v>#REF!</v>
      </c>
      <c r="CI441" s="7" t="e">
        <f>IF(#REF!="","",IF(AND($CE441&gt;0,#REF!="TIBOUREN N"),#REF!,0))</f>
        <v>#REF!</v>
      </c>
      <c r="CJ441" s="7" t="e">
        <f>IF(#REF!="","",IF(AND($CE441&gt;0,#REF!="MOURVEDRE N"),#REF!,0))</f>
        <v>#REF!</v>
      </c>
      <c r="CK441" s="7" t="e">
        <f>IF(#REF!="","",IF(AND($CE441&gt;0,#REF!="CARIGNAN N"),#REF!,0))</f>
        <v>#REF!</v>
      </c>
      <c r="CL441" s="7" t="e">
        <f>IF(#REF!="","",IF(AND($CE441&gt;0,#REF!="CABERNET SAUVIGNON N"),#REF!,0))</f>
        <v>#REF!</v>
      </c>
      <c r="CM441" s="7" t="e">
        <f>IF(#REF!="","",IF(AND($CE441&gt;0,#REF!="VERMENTINO B"),#REF!,0))</f>
        <v>#REF!</v>
      </c>
      <c r="CN441" s="7" t="e">
        <f>IF(#REF!="","",IF(AND($CE441&gt;0,#REF!="UGNI BLANC B"),#REF!,0))</f>
        <v>#REF!</v>
      </c>
      <c r="CO441" s="7" t="e">
        <f>IF(#REF!="","",IF(AND($CE441&gt;0,#REF!="CLAIRETTE B"),#REF!,0))</f>
        <v>#REF!</v>
      </c>
      <c r="CP441" s="7" t="e">
        <f>IF(#REF!="","",IF(AND($CE441&gt;0,#REF!="semillon B"),#REF!,0))</f>
        <v>#REF!</v>
      </c>
      <c r="CQ441" s="7" t="e">
        <f>IF(#REF!="","",IF(CE441=0,CC441,0))</f>
        <v>#REF!</v>
      </c>
      <c r="CR441" s="17"/>
      <c r="DE441"/>
    </row>
    <row r="442" spans="81:109" x14ac:dyDescent="0.25">
      <c r="CC442" s="7" t="e">
        <f>IF(#REF!="","",IF(#REF!="PF",#REF!,0))</f>
        <v>#REF!</v>
      </c>
      <c r="CD442" s="7" t="e">
        <f>IF(#REF!="","",IF(#REF!="PF",IF((#REF!+4)&lt;YEAR(#REF!),0,#REF!),0))</f>
        <v>#REF!</v>
      </c>
      <c r="CE442" s="7" t="e">
        <f>IF(#REF!="","",IF(AND(CD442&gt;0,#REF!&lt;&gt;""),CC442,0))</f>
        <v>#REF!</v>
      </c>
      <c r="CF442" s="7" t="e">
        <f>IF(#REF!="","",IF(AND($CE442&gt;0,#REF!= "GRENACHE N"),#REF!,0))</f>
        <v>#REF!</v>
      </c>
      <c r="CG442" s="7" t="e">
        <f>IF(#REF!="","",IF(AND($CE442&gt;0,#REF!="SYRAH N"),#REF!,0))</f>
        <v>#REF!</v>
      </c>
      <c r="CH442" s="7" t="e">
        <f>IF(#REF!="","",IF(AND($CE442&gt;0,#REF!="CINSAUT N"),#REF!,0))</f>
        <v>#REF!</v>
      </c>
      <c r="CI442" s="7" t="e">
        <f>IF(#REF!="","",IF(AND($CE442&gt;0,#REF!="TIBOUREN N"),#REF!,0))</f>
        <v>#REF!</v>
      </c>
      <c r="CJ442" s="7" t="e">
        <f>IF(#REF!="","",IF(AND($CE442&gt;0,#REF!="MOURVEDRE N"),#REF!,0))</f>
        <v>#REF!</v>
      </c>
      <c r="CK442" s="7" t="e">
        <f>IF(#REF!="","",IF(AND($CE442&gt;0,#REF!="CARIGNAN N"),#REF!,0))</f>
        <v>#REF!</v>
      </c>
      <c r="CL442" s="7" t="e">
        <f>IF(#REF!="","",IF(AND($CE442&gt;0,#REF!="CABERNET SAUVIGNON N"),#REF!,0))</f>
        <v>#REF!</v>
      </c>
      <c r="CM442" s="7" t="e">
        <f>IF(#REF!="","",IF(AND($CE442&gt;0,#REF!="VERMENTINO B"),#REF!,0))</f>
        <v>#REF!</v>
      </c>
      <c r="CN442" s="7" t="e">
        <f>IF(#REF!="","",IF(AND($CE442&gt;0,#REF!="UGNI BLANC B"),#REF!,0))</f>
        <v>#REF!</v>
      </c>
      <c r="CO442" s="7" t="e">
        <f>IF(#REF!="","",IF(AND($CE442&gt;0,#REF!="CLAIRETTE B"),#REF!,0))</f>
        <v>#REF!</v>
      </c>
      <c r="CP442" s="7" t="e">
        <f>IF(#REF!="","",IF(AND($CE442&gt;0,#REF!="semillon B"),#REF!,0))</f>
        <v>#REF!</v>
      </c>
      <c r="CQ442" s="7" t="e">
        <f>IF(#REF!="","",IF(CE442=0,CC442,0))</f>
        <v>#REF!</v>
      </c>
      <c r="CR442" s="17"/>
      <c r="DE442"/>
    </row>
    <row r="443" spans="81:109" x14ac:dyDescent="0.25">
      <c r="CC443" s="7" t="e">
        <f>IF(#REF!="","",IF(#REF!="PF",#REF!,0))</f>
        <v>#REF!</v>
      </c>
      <c r="CD443" s="7" t="e">
        <f>IF(#REF!="","",IF(#REF!="PF",IF((#REF!+4)&lt;YEAR(#REF!),0,#REF!),0))</f>
        <v>#REF!</v>
      </c>
      <c r="CE443" s="7" t="e">
        <f>IF(#REF!="","",IF(AND(CD443&gt;0,#REF!&lt;&gt;""),CC443,0))</f>
        <v>#REF!</v>
      </c>
      <c r="CF443" s="7" t="e">
        <f>IF(#REF!="","",IF(AND($CE443&gt;0,#REF!= "GRENACHE N"),#REF!,0))</f>
        <v>#REF!</v>
      </c>
      <c r="CG443" s="7" t="e">
        <f>IF(#REF!="","",IF(AND($CE443&gt;0,#REF!="SYRAH N"),#REF!,0))</f>
        <v>#REF!</v>
      </c>
      <c r="CH443" s="7" t="e">
        <f>IF(#REF!="","",IF(AND($CE443&gt;0,#REF!="CINSAUT N"),#REF!,0))</f>
        <v>#REF!</v>
      </c>
      <c r="CI443" s="7" t="e">
        <f>IF(#REF!="","",IF(AND($CE443&gt;0,#REF!="TIBOUREN N"),#REF!,0))</f>
        <v>#REF!</v>
      </c>
      <c r="CJ443" s="7" t="e">
        <f>IF(#REF!="","",IF(AND($CE443&gt;0,#REF!="MOURVEDRE N"),#REF!,0))</f>
        <v>#REF!</v>
      </c>
      <c r="CK443" s="7" t="e">
        <f>IF(#REF!="","",IF(AND($CE443&gt;0,#REF!="CARIGNAN N"),#REF!,0))</f>
        <v>#REF!</v>
      </c>
      <c r="CL443" s="7" t="e">
        <f>IF(#REF!="","",IF(AND($CE443&gt;0,#REF!="CABERNET SAUVIGNON N"),#REF!,0))</f>
        <v>#REF!</v>
      </c>
      <c r="CM443" s="7" t="e">
        <f>IF(#REF!="","",IF(AND($CE443&gt;0,#REF!="VERMENTINO B"),#REF!,0))</f>
        <v>#REF!</v>
      </c>
      <c r="CN443" s="7" t="e">
        <f>IF(#REF!="","",IF(AND($CE443&gt;0,#REF!="UGNI BLANC B"),#REF!,0))</f>
        <v>#REF!</v>
      </c>
      <c r="CO443" s="7" t="e">
        <f>IF(#REF!="","",IF(AND($CE443&gt;0,#REF!="CLAIRETTE B"),#REF!,0))</f>
        <v>#REF!</v>
      </c>
      <c r="CP443" s="7" t="e">
        <f>IF(#REF!="","",IF(AND($CE443&gt;0,#REF!="semillon B"),#REF!,0))</f>
        <v>#REF!</v>
      </c>
      <c r="CQ443" s="7" t="e">
        <f>IF(#REF!="","",IF(CE443=0,CC443,0))</f>
        <v>#REF!</v>
      </c>
      <c r="CR443" s="17"/>
      <c r="DE443"/>
    </row>
    <row r="444" spans="81:109" x14ac:dyDescent="0.25">
      <c r="CC444" s="7" t="e">
        <f>IF(#REF!="","",IF(#REF!="PF",#REF!,0))</f>
        <v>#REF!</v>
      </c>
      <c r="CD444" s="7" t="e">
        <f>IF(#REF!="","",IF(#REF!="PF",IF((#REF!+4)&lt;YEAR(#REF!),0,#REF!),0))</f>
        <v>#REF!</v>
      </c>
      <c r="CE444" s="7" t="e">
        <f>IF(#REF!="","",IF(AND(CD444&gt;0,#REF!&lt;&gt;""),CC444,0))</f>
        <v>#REF!</v>
      </c>
      <c r="CF444" s="7" t="e">
        <f>IF(#REF!="","",IF(AND($CE444&gt;0,#REF!= "GRENACHE N"),#REF!,0))</f>
        <v>#REF!</v>
      </c>
      <c r="CG444" s="7" t="e">
        <f>IF(#REF!="","",IF(AND($CE444&gt;0,#REF!="SYRAH N"),#REF!,0))</f>
        <v>#REF!</v>
      </c>
      <c r="CH444" s="7" t="e">
        <f>IF(#REF!="","",IF(AND($CE444&gt;0,#REF!="CINSAUT N"),#REF!,0))</f>
        <v>#REF!</v>
      </c>
      <c r="CI444" s="7" t="e">
        <f>IF(#REF!="","",IF(AND($CE444&gt;0,#REF!="TIBOUREN N"),#REF!,0))</f>
        <v>#REF!</v>
      </c>
      <c r="CJ444" s="7" t="e">
        <f>IF(#REF!="","",IF(AND($CE444&gt;0,#REF!="MOURVEDRE N"),#REF!,0))</f>
        <v>#REF!</v>
      </c>
      <c r="CK444" s="7" t="e">
        <f>IF(#REF!="","",IF(AND($CE444&gt;0,#REF!="CARIGNAN N"),#REF!,0))</f>
        <v>#REF!</v>
      </c>
      <c r="CL444" s="7" t="e">
        <f>IF(#REF!="","",IF(AND($CE444&gt;0,#REF!="CABERNET SAUVIGNON N"),#REF!,0))</f>
        <v>#REF!</v>
      </c>
      <c r="CM444" s="7" t="e">
        <f>IF(#REF!="","",IF(AND($CE444&gt;0,#REF!="VERMENTINO B"),#REF!,0))</f>
        <v>#REF!</v>
      </c>
      <c r="CN444" s="7" t="e">
        <f>IF(#REF!="","",IF(AND($CE444&gt;0,#REF!="UGNI BLANC B"),#REF!,0))</f>
        <v>#REF!</v>
      </c>
      <c r="CO444" s="7" t="e">
        <f>IF(#REF!="","",IF(AND($CE444&gt;0,#REF!="CLAIRETTE B"),#REF!,0))</f>
        <v>#REF!</v>
      </c>
      <c r="CP444" s="7" t="e">
        <f>IF(#REF!="","",IF(AND($CE444&gt;0,#REF!="semillon B"),#REF!,0))</f>
        <v>#REF!</v>
      </c>
      <c r="CQ444" s="7" t="e">
        <f>IF(#REF!="","",IF(CE444=0,CC444,0))</f>
        <v>#REF!</v>
      </c>
      <c r="CR444" s="17"/>
      <c r="DE444"/>
    </row>
    <row r="445" spans="81:109" x14ac:dyDescent="0.25">
      <c r="CC445" s="7" t="e">
        <f>IF(#REF!="","",IF(#REF!="PF",#REF!,0))</f>
        <v>#REF!</v>
      </c>
      <c r="CD445" s="7" t="e">
        <f>IF(#REF!="","",IF(#REF!="PF",IF((#REF!+4)&lt;YEAR(#REF!),0,#REF!),0))</f>
        <v>#REF!</v>
      </c>
      <c r="CE445" s="7" t="e">
        <f>IF(#REF!="","",IF(AND(CD445&gt;0,#REF!&lt;&gt;""),CC445,0))</f>
        <v>#REF!</v>
      </c>
      <c r="CF445" s="7" t="e">
        <f>IF(#REF!="","",IF(AND($CE445&gt;0,#REF!= "GRENACHE N"),#REF!,0))</f>
        <v>#REF!</v>
      </c>
      <c r="CG445" s="7" t="e">
        <f>IF(#REF!="","",IF(AND($CE445&gt;0,#REF!="SYRAH N"),#REF!,0))</f>
        <v>#REF!</v>
      </c>
      <c r="CH445" s="7" t="e">
        <f>IF(#REF!="","",IF(AND($CE445&gt;0,#REF!="CINSAUT N"),#REF!,0))</f>
        <v>#REF!</v>
      </c>
      <c r="CI445" s="7" t="e">
        <f>IF(#REF!="","",IF(AND($CE445&gt;0,#REF!="TIBOUREN N"),#REF!,0))</f>
        <v>#REF!</v>
      </c>
      <c r="CJ445" s="7" t="e">
        <f>IF(#REF!="","",IF(AND($CE445&gt;0,#REF!="MOURVEDRE N"),#REF!,0))</f>
        <v>#REF!</v>
      </c>
      <c r="CK445" s="7" t="e">
        <f>IF(#REF!="","",IF(AND($CE445&gt;0,#REF!="CARIGNAN N"),#REF!,0))</f>
        <v>#REF!</v>
      </c>
      <c r="CL445" s="7" t="e">
        <f>IF(#REF!="","",IF(AND($CE445&gt;0,#REF!="CABERNET SAUVIGNON N"),#REF!,0))</f>
        <v>#REF!</v>
      </c>
      <c r="CM445" s="7" t="e">
        <f>IF(#REF!="","",IF(AND($CE445&gt;0,#REF!="VERMENTINO B"),#REF!,0))</f>
        <v>#REF!</v>
      </c>
      <c r="CN445" s="7" t="e">
        <f>IF(#REF!="","",IF(AND($CE445&gt;0,#REF!="UGNI BLANC B"),#REF!,0))</f>
        <v>#REF!</v>
      </c>
      <c r="CO445" s="7" t="e">
        <f>IF(#REF!="","",IF(AND($CE445&gt;0,#REF!="CLAIRETTE B"),#REF!,0))</f>
        <v>#REF!</v>
      </c>
      <c r="CP445" s="7" t="e">
        <f>IF(#REF!="","",IF(AND($CE445&gt;0,#REF!="semillon B"),#REF!,0))</f>
        <v>#REF!</v>
      </c>
      <c r="CQ445" s="7" t="e">
        <f>IF(#REF!="","",IF(CE445=0,CC445,0))</f>
        <v>#REF!</v>
      </c>
      <c r="CR445" s="17"/>
      <c r="DE445"/>
    </row>
    <row r="446" spans="81:109" x14ac:dyDescent="0.25">
      <c r="CC446" s="7" t="e">
        <f>IF(#REF!="","",IF(#REF!="PF",#REF!,0))</f>
        <v>#REF!</v>
      </c>
      <c r="CD446" s="7" t="e">
        <f>IF(#REF!="","",IF(#REF!="PF",IF((#REF!+4)&lt;YEAR(#REF!),0,#REF!),0))</f>
        <v>#REF!</v>
      </c>
      <c r="CE446" s="7" t="e">
        <f>IF(#REF!="","",IF(AND(CD446&gt;0,#REF!&lt;&gt;""),CC446,0))</f>
        <v>#REF!</v>
      </c>
      <c r="CF446" s="7" t="e">
        <f>IF(#REF!="","",IF(AND($CE446&gt;0,#REF!= "GRENACHE N"),#REF!,0))</f>
        <v>#REF!</v>
      </c>
      <c r="CG446" s="7" t="e">
        <f>IF(#REF!="","",IF(AND($CE446&gt;0,#REF!="SYRAH N"),#REF!,0))</f>
        <v>#REF!</v>
      </c>
      <c r="CH446" s="7" t="e">
        <f>IF(#REF!="","",IF(AND($CE446&gt;0,#REF!="CINSAUT N"),#REF!,0))</f>
        <v>#REF!</v>
      </c>
      <c r="CI446" s="7" t="e">
        <f>IF(#REF!="","",IF(AND($CE446&gt;0,#REF!="TIBOUREN N"),#REF!,0))</f>
        <v>#REF!</v>
      </c>
      <c r="CJ446" s="7" t="e">
        <f>IF(#REF!="","",IF(AND($CE446&gt;0,#REF!="MOURVEDRE N"),#REF!,0))</f>
        <v>#REF!</v>
      </c>
      <c r="CK446" s="7" t="e">
        <f>IF(#REF!="","",IF(AND($CE446&gt;0,#REF!="CARIGNAN N"),#REF!,0))</f>
        <v>#REF!</v>
      </c>
      <c r="CL446" s="7" t="e">
        <f>IF(#REF!="","",IF(AND($CE446&gt;0,#REF!="CABERNET SAUVIGNON N"),#REF!,0))</f>
        <v>#REF!</v>
      </c>
      <c r="CM446" s="7" t="e">
        <f>IF(#REF!="","",IF(AND($CE446&gt;0,#REF!="VERMENTINO B"),#REF!,0))</f>
        <v>#REF!</v>
      </c>
      <c r="CN446" s="7" t="e">
        <f>IF(#REF!="","",IF(AND($CE446&gt;0,#REF!="UGNI BLANC B"),#REF!,0))</f>
        <v>#REF!</v>
      </c>
      <c r="CO446" s="7" t="e">
        <f>IF(#REF!="","",IF(AND($CE446&gt;0,#REF!="CLAIRETTE B"),#REF!,0))</f>
        <v>#REF!</v>
      </c>
      <c r="CP446" s="7" t="e">
        <f>IF(#REF!="","",IF(AND($CE446&gt;0,#REF!="semillon B"),#REF!,0))</f>
        <v>#REF!</v>
      </c>
      <c r="CQ446" s="7" t="e">
        <f>IF(#REF!="","",IF(CE446=0,CC446,0))</f>
        <v>#REF!</v>
      </c>
      <c r="CR446" s="17"/>
      <c r="DE446"/>
    </row>
    <row r="447" spans="81:109" x14ac:dyDescent="0.25">
      <c r="CC447" s="7" t="e">
        <f>IF(#REF!="","",IF(#REF!="PF",#REF!,0))</f>
        <v>#REF!</v>
      </c>
      <c r="CD447" s="7" t="e">
        <f>IF(#REF!="","",IF(#REF!="PF",IF((#REF!+4)&lt;YEAR(#REF!),0,#REF!),0))</f>
        <v>#REF!</v>
      </c>
      <c r="CE447" s="7" t="e">
        <f>IF(#REF!="","",IF(AND(CD447&gt;0,#REF!&lt;&gt;""),CC447,0))</f>
        <v>#REF!</v>
      </c>
      <c r="CF447" s="7" t="e">
        <f>IF(#REF!="","",IF(AND($CE447&gt;0,#REF!= "GRENACHE N"),#REF!,0))</f>
        <v>#REF!</v>
      </c>
      <c r="CG447" s="7" t="e">
        <f>IF(#REF!="","",IF(AND($CE447&gt;0,#REF!="SYRAH N"),#REF!,0))</f>
        <v>#REF!</v>
      </c>
      <c r="CH447" s="7" t="e">
        <f>IF(#REF!="","",IF(AND($CE447&gt;0,#REF!="CINSAUT N"),#REF!,0))</f>
        <v>#REF!</v>
      </c>
      <c r="CI447" s="7" t="e">
        <f>IF(#REF!="","",IF(AND($CE447&gt;0,#REF!="TIBOUREN N"),#REF!,0))</f>
        <v>#REF!</v>
      </c>
      <c r="CJ447" s="7" t="e">
        <f>IF(#REF!="","",IF(AND($CE447&gt;0,#REF!="MOURVEDRE N"),#REF!,0))</f>
        <v>#REF!</v>
      </c>
      <c r="CK447" s="7" t="e">
        <f>IF(#REF!="","",IF(AND($CE447&gt;0,#REF!="CARIGNAN N"),#REF!,0))</f>
        <v>#REF!</v>
      </c>
      <c r="CL447" s="7" t="e">
        <f>IF(#REF!="","",IF(AND($CE447&gt;0,#REF!="CABERNET SAUVIGNON N"),#REF!,0))</f>
        <v>#REF!</v>
      </c>
      <c r="CM447" s="7" t="e">
        <f>IF(#REF!="","",IF(AND($CE447&gt;0,#REF!="VERMENTINO B"),#REF!,0))</f>
        <v>#REF!</v>
      </c>
      <c r="CN447" s="7" t="e">
        <f>IF(#REF!="","",IF(AND($CE447&gt;0,#REF!="UGNI BLANC B"),#REF!,0))</f>
        <v>#REF!</v>
      </c>
      <c r="CO447" s="7" t="e">
        <f>IF(#REF!="","",IF(AND($CE447&gt;0,#REF!="CLAIRETTE B"),#REF!,0))</f>
        <v>#REF!</v>
      </c>
      <c r="CP447" s="7" t="e">
        <f>IF(#REF!="","",IF(AND($CE447&gt;0,#REF!="semillon B"),#REF!,0))</f>
        <v>#REF!</v>
      </c>
      <c r="CQ447" s="7" t="e">
        <f>IF(#REF!="","",IF(CE447=0,CC447,0))</f>
        <v>#REF!</v>
      </c>
      <c r="CR447" s="17"/>
      <c r="DE447"/>
    </row>
    <row r="448" spans="81:109" x14ac:dyDescent="0.25">
      <c r="CC448" s="7" t="e">
        <f>IF(#REF!="","",IF(#REF!="PF",#REF!,0))</f>
        <v>#REF!</v>
      </c>
      <c r="CD448" s="7" t="e">
        <f>IF(#REF!="","",IF(#REF!="PF",IF((#REF!+4)&lt;YEAR(#REF!),0,#REF!),0))</f>
        <v>#REF!</v>
      </c>
      <c r="CE448" s="7" t="e">
        <f>IF(#REF!="","",IF(AND(CD448&gt;0,#REF!&lt;&gt;""),CC448,0))</f>
        <v>#REF!</v>
      </c>
      <c r="CF448" s="7" t="e">
        <f>IF(#REF!="","",IF(AND($CE448&gt;0,#REF!= "GRENACHE N"),#REF!,0))</f>
        <v>#REF!</v>
      </c>
      <c r="CG448" s="7" t="e">
        <f>IF(#REF!="","",IF(AND($CE448&gt;0,#REF!="SYRAH N"),#REF!,0))</f>
        <v>#REF!</v>
      </c>
      <c r="CH448" s="7" t="e">
        <f>IF(#REF!="","",IF(AND($CE448&gt;0,#REF!="CINSAUT N"),#REF!,0))</f>
        <v>#REF!</v>
      </c>
      <c r="CI448" s="7" t="e">
        <f>IF(#REF!="","",IF(AND($CE448&gt;0,#REF!="TIBOUREN N"),#REF!,0))</f>
        <v>#REF!</v>
      </c>
      <c r="CJ448" s="7" t="e">
        <f>IF(#REF!="","",IF(AND($CE448&gt;0,#REF!="MOURVEDRE N"),#REF!,0))</f>
        <v>#REF!</v>
      </c>
      <c r="CK448" s="7" t="e">
        <f>IF(#REF!="","",IF(AND($CE448&gt;0,#REF!="CARIGNAN N"),#REF!,0))</f>
        <v>#REF!</v>
      </c>
      <c r="CL448" s="7" t="e">
        <f>IF(#REF!="","",IF(AND($CE448&gt;0,#REF!="CABERNET SAUVIGNON N"),#REF!,0))</f>
        <v>#REF!</v>
      </c>
      <c r="CM448" s="7" t="e">
        <f>IF(#REF!="","",IF(AND($CE448&gt;0,#REF!="VERMENTINO B"),#REF!,0))</f>
        <v>#REF!</v>
      </c>
      <c r="CN448" s="7" t="e">
        <f>IF(#REF!="","",IF(AND($CE448&gt;0,#REF!="UGNI BLANC B"),#REF!,0))</f>
        <v>#REF!</v>
      </c>
      <c r="CO448" s="7" t="e">
        <f>IF(#REF!="","",IF(AND($CE448&gt;0,#REF!="CLAIRETTE B"),#REF!,0))</f>
        <v>#REF!</v>
      </c>
      <c r="CP448" s="7" t="e">
        <f>IF(#REF!="","",IF(AND($CE448&gt;0,#REF!="semillon B"),#REF!,0))</f>
        <v>#REF!</v>
      </c>
      <c r="CQ448" s="7" t="e">
        <f>IF(#REF!="","",IF(CE448=0,CC448,0))</f>
        <v>#REF!</v>
      </c>
      <c r="CR448" s="17"/>
      <c r="DE448"/>
    </row>
    <row r="449" spans="81:109" x14ac:dyDescent="0.25">
      <c r="CC449" s="7" t="e">
        <f>IF(#REF!="","",IF(#REF!="PF",#REF!,0))</f>
        <v>#REF!</v>
      </c>
      <c r="CD449" s="7" t="e">
        <f>IF(#REF!="","",IF(#REF!="PF",IF((#REF!+4)&lt;YEAR(#REF!),0,#REF!),0))</f>
        <v>#REF!</v>
      </c>
      <c r="CE449" s="7" t="e">
        <f>IF(#REF!="","",IF(AND(CD449&gt;0,#REF!&lt;&gt;""),CC449,0))</f>
        <v>#REF!</v>
      </c>
      <c r="CF449" s="7" t="e">
        <f>IF(#REF!="","",IF(AND($CE449&gt;0,#REF!= "GRENACHE N"),#REF!,0))</f>
        <v>#REF!</v>
      </c>
      <c r="CG449" s="7" t="e">
        <f>IF(#REF!="","",IF(AND($CE449&gt;0,#REF!="SYRAH N"),#REF!,0))</f>
        <v>#REF!</v>
      </c>
      <c r="CH449" s="7" t="e">
        <f>IF(#REF!="","",IF(AND($CE449&gt;0,#REF!="CINSAUT N"),#REF!,0))</f>
        <v>#REF!</v>
      </c>
      <c r="CI449" s="7" t="e">
        <f>IF(#REF!="","",IF(AND($CE449&gt;0,#REF!="TIBOUREN N"),#REF!,0))</f>
        <v>#REF!</v>
      </c>
      <c r="CJ449" s="7" t="e">
        <f>IF(#REF!="","",IF(AND($CE449&gt;0,#REF!="MOURVEDRE N"),#REF!,0))</f>
        <v>#REF!</v>
      </c>
      <c r="CK449" s="7" t="e">
        <f>IF(#REF!="","",IF(AND($CE449&gt;0,#REF!="CARIGNAN N"),#REF!,0))</f>
        <v>#REF!</v>
      </c>
      <c r="CL449" s="7" t="e">
        <f>IF(#REF!="","",IF(AND($CE449&gt;0,#REF!="CABERNET SAUVIGNON N"),#REF!,0))</f>
        <v>#REF!</v>
      </c>
      <c r="CM449" s="7" t="e">
        <f>IF(#REF!="","",IF(AND($CE449&gt;0,#REF!="VERMENTINO B"),#REF!,0))</f>
        <v>#REF!</v>
      </c>
      <c r="CN449" s="7" t="e">
        <f>IF(#REF!="","",IF(AND($CE449&gt;0,#REF!="UGNI BLANC B"),#REF!,0))</f>
        <v>#REF!</v>
      </c>
      <c r="CO449" s="7" t="e">
        <f>IF(#REF!="","",IF(AND($CE449&gt;0,#REF!="CLAIRETTE B"),#REF!,0))</f>
        <v>#REF!</v>
      </c>
      <c r="CP449" s="7" t="e">
        <f>IF(#REF!="","",IF(AND($CE449&gt;0,#REF!="semillon B"),#REF!,0))</f>
        <v>#REF!</v>
      </c>
      <c r="CQ449" s="7" t="e">
        <f>IF(#REF!="","",IF(CE449=0,CC449,0))</f>
        <v>#REF!</v>
      </c>
      <c r="CR449" s="17"/>
      <c r="DE449"/>
    </row>
    <row r="450" spans="81:109" x14ac:dyDescent="0.25">
      <c r="CC450" s="7" t="e">
        <f>IF(#REF!="","",IF(#REF!="PF",#REF!,0))</f>
        <v>#REF!</v>
      </c>
      <c r="CD450" s="7" t="e">
        <f>IF(#REF!="","",IF(#REF!="PF",IF((#REF!+4)&lt;YEAR(#REF!),0,#REF!),0))</f>
        <v>#REF!</v>
      </c>
      <c r="CE450" s="7" t="e">
        <f>IF(#REF!="","",IF(AND(CD450&gt;0,#REF!&lt;&gt;""),CC450,0))</f>
        <v>#REF!</v>
      </c>
      <c r="CF450" s="7" t="e">
        <f>IF(#REF!="","",IF(AND($CE450&gt;0,#REF!= "GRENACHE N"),#REF!,0))</f>
        <v>#REF!</v>
      </c>
      <c r="CG450" s="7" t="e">
        <f>IF(#REF!="","",IF(AND($CE450&gt;0,#REF!="SYRAH N"),#REF!,0))</f>
        <v>#REF!</v>
      </c>
      <c r="CH450" s="7" t="e">
        <f>IF(#REF!="","",IF(AND($CE450&gt;0,#REF!="CINSAUT N"),#REF!,0))</f>
        <v>#REF!</v>
      </c>
      <c r="CI450" s="7" t="e">
        <f>IF(#REF!="","",IF(AND($CE450&gt;0,#REF!="TIBOUREN N"),#REF!,0))</f>
        <v>#REF!</v>
      </c>
      <c r="CJ450" s="7" t="e">
        <f>IF(#REF!="","",IF(AND($CE450&gt;0,#REF!="MOURVEDRE N"),#REF!,0))</f>
        <v>#REF!</v>
      </c>
      <c r="CK450" s="7" t="e">
        <f>IF(#REF!="","",IF(AND($CE450&gt;0,#REF!="CARIGNAN N"),#REF!,0))</f>
        <v>#REF!</v>
      </c>
      <c r="CL450" s="7" t="e">
        <f>IF(#REF!="","",IF(AND($CE450&gt;0,#REF!="CABERNET SAUVIGNON N"),#REF!,0))</f>
        <v>#REF!</v>
      </c>
      <c r="CM450" s="7" t="e">
        <f>IF(#REF!="","",IF(AND($CE450&gt;0,#REF!="VERMENTINO B"),#REF!,0))</f>
        <v>#REF!</v>
      </c>
      <c r="CN450" s="7" t="e">
        <f>IF(#REF!="","",IF(AND($CE450&gt;0,#REF!="UGNI BLANC B"),#REF!,0))</f>
        <v>#REF!</v>
      </c>
      <c r="CO450" s="7" t="e">
        <f>IF(#REF!="","",IF(AND($CE450&gt;0,#REF!="CLAIRETTE B"),#REF!,0))</f>
        <v>#REF!</v>
      </c>
      <c r="CP450" s="7" t="e">
        <f>IF(#REF!="","",IF(AND($CE450&gt;0,#REF!="semillon B"),#REF!,0))</f>
        <v>#REF!</v>
      </c>
      <c r="CQ450" s="7" t="e">
        <f>IF(#REF!="","",IF(CE450=0,CC450,0))</f>
        <v>#REF!</v>
      </c>
      <c r="CR450" s="17"/>
      <c r="DE450"/>
    </row>
    <row r="451" spans="81:109" x14ac:dyDescent="0.25">
      <c r="CC451" s="7" t="e">
        <f>IF(#REF!="","",IF(#REF!="PF",#REF!,0))</f>
        <v>#REF!</v>
      </c>
      <c r="CD451" s="7" t="e">
        <f>IF(#REF!="","",IF(#REF!="PF",IF((#REF!+4)&lt;YEAR(#REF!),0,#REF!),0))</f>
        <v>#REF!</v>
      </c>
      <c r="CE451" s="7" t="e">
        <f>IF(#REF!="","",IF(AND(CD451&gt;0,#REF!&lt;&gt;""),CC451,0))</f>
        <v>#REF!</v>
      </c>
      <c r="CF451" s="7" t="e">
        <f>IF(#REF!="","",IF(AND($CE451&gt;0,#REF!= "GRENACHE N"),#REF!,0))</f>
        <v>#REF!</v>
      </c>
      <c r="CG451" s="7" t="e">
        <f>IF(#REF!="","",IF(AND($CE451&gt;0,#REF!="SYRAH N"),#REF!,0))</f>
        <v>#REF!</v>
      </c>
      <c r="CH451" s="7" t="e">
        <f>IF(#REF!="","",IF(AND($CE451&gt;0,#REF!="CINSAUT N"),#REF!,0))</f>
        <v>#REF!</v>
      </c>
      <c r="CI451" s="7" t="e">
        <f>IF(#REF!="","",IF(AND($CE451&gt;0,#REF!="TIBOUREN N"),#REF!,0))</f>
        <v>#REF!</v>
      </c>
      <c r="CJ451" s="7" t="e">
        <f>IF(#REF!="","",IF(AND($CE451&gt;0,#REF!="MOURVEDRE N"),#REF!,0))</f>
        <v>#REF!</v>
      </c>
      <c r="CK451" s="7" t="e">
        <f>IF(#REF!="","",IF(AND($CE451&gt;0,#REF!="CARIGNAN N"),#REF!,0))</f>
        <v>#REF!</v>
      </c>
      <c r="CL451" s="7" t="e">
        <f>IF(#REF!="","",IF(AND($CE451&gt;0,#REF!="CABERNET SAUVIGNON N"),#REF!,0))</f>
        <v>#REF!</v>
      </c>
      <c r="CM451" s="7" t="e">
        <f>IF(#REF!="","",IF(AND($CE451&gt;0,#REF!="VERMENTINO B"),#REF!,0))</f>
        <v>#REF!</v>
      </c>
      <c r="CN451" s="7" t="e">
        <f>IF(#REF!="","",IF(AND($CE451&gt;0,#REF!="UGNI BLANC B"),#REF!,0))</f>
        <v>#REF!</v>
      </c>
      <c r="CO451" s="7" t="e">
        <f>IF(#REF!="","",IF(AND($CE451&gt;0,#REF!="CLAIRETTE B"),#REF!,0))</f>
        <v>#REF!</v>
      </c>
      <c r="CP451" s="7" t="e">
        <f>IF(#REF!="","",IF(AND($CE451&gt;0,#REF!="semillon B"),#REF!,0))</f>
        <v>#REF!</v>
      </c>
      <c r="CQ451" s="7" t="e">
        <f>IF(#REF!="","",IF(CE451=0,CC451,0))</f>
        <v>#REF!</v>
      </c>
      <c r="CR451" s="17"/>
      <c r="DE451"/>
    </row>
    <row r="452" spans="81:109" x14ac:dyDescent="0.25">
      <c r="CC452" s="7" t="e">
        <f>IF(#REF!="","",IF(#REF!="PF",#REF!,0))</f>
        <v>#REF!</v>
      </c>
      <c r="CD452" s="7" t="e">
        <f>IF(#REF!="","",IF(#REF!="PF",IF((#REF!+4)&lt;YEAR(#REF!),0,#REF!),0))</f>
        <v>#REF!</v>
      </c>
      <c r="CE452" s="7" t="e">
        <f>IF(#REF!="","",IF(AND(CD452&gt;0,#REF!&lt;&gt;""),CC452,0))</f>
        <v>#REF!</v>
      </c>
      <c r="CF452" s="7" t="e">
        <f>IF(#REF!="","",IF(AND($CE452&gt;0,#REF!= "GRENACHE N"),#REF!,0))</f>
        <v>#REF!</v>
      </c>
      <c r="CG452" s="7" t="e">
        <f>IF(#REF!="","",IF(AND($CE452&gt;0,#REF!="SYRAH N"),#REF!,0))</f>
        <v>#REF!</v>
      </c>
      <c r="CH452" s="7" t="e">
        <f>IF(#REF!="","",IF(AND($CE452&gt;0,#REF!="CINSAUT N"),#REF!,0))</f>
        <v>#REF!</v>
      </c>
      <c r="CI452" s="7" t="e">
        <f>IF(#REF!="","",IF(AND($CE452&gt;0,#REF!="TIBOUREN N"),#REF!,0))</f>
        <v>#REF!</v>
      </c>
      <c r="CJ452" s="7" t="e">
        <f>IF(#REF!="","",IF(AND($CE452&gt;0,#REF!="MOURVEDRE N"),#REF!,0))</f>
        <v>#REF!</v>
      </c>
      <c r="CK452" s="7" t="e">
        <f>IF(#REF!="","",IF(AND($CE452&gt;0,#REF!="CARIGNAN N"),#REF!,0))</f>
        <v>#REF!</v>
      </c>
      <c r="CL452" s="7" t="e">
        <f>IF(#REF!="","",IF(AND($CE452&gt;0,#REF!="CABERNET SAUVIGNON N"),#REF!,0))</f>
        <v>#REF!</v>
      </c>
      <c r="CM452" s="7" t="e">
        <f>IF(#REF!="","",IF(AND($CE452&gt;0,#REF!="VERMENTINO B"),#REF!,0))</f>
        <v>#REF!</v>
      </c>
      <c r="CN452" s="7" t="e">
        <f>IF(#REF!="","",IF(AND($CE452&gt;0,#REF!="UGNI BLANC B"),#REF!,0))</f>
        <v>#REF!</v>
      </c>
      <c r="CO452" s="7" t="e">
        <f>IF(#REF!="","",IF(AND($CE452&gt;0,#REF!="CLAIRETTE B"),#REF!,0))</f>
        <v>#REF!</v>
      </c>
      <c r="CP452" s="7" t="e">
        <f>IF(#REF!="","",IF(AND($CE452&gt;0,#REF!="semillon B"),#REF!,0))</f>
        <v>#REF!</v>
      </c>
      <c r="CQ452" s="7" t="e">
        <f>IF(#REF!="","",IF(CE452=0,CC452,0))</f>
        <v>#REF!</v>
      </c>
      <c r="CR452" s="17"/>
      <c r="DE452"/>
    </row>
    <row r="453" spans="81:109" x14ac:dyDescent="0.25">
      <c r="CC453" s="7" t="e">
        <f>IF(#REF!="","",IF(#REF!="PF",#REF!,0))</f>
        <v>#REF!</v>
      </c>
      <c r="CD453" s="7" t="e">
        <f>IF(#REF!="","",IF(#REF!="PF",IF((#REF!+4)&lt;YEAR(#REF!),0,#REF!),0))</f>
        <v>#REF!</v>
      </c>
      <c r="CE453" s="7" t="e">
        <f>IF(#REF!="","",IF(AND(CD453&gt;0,#REF!&lt;&gt;""),CC453,0))</f>
        <v>#REF!</v>
      </c>
      <c r="CF453" s="7" t="e">
        <f>IF(#REF!="","",IF(AND($CE453&gt;0,#REF!= "GRENACHE N"),#REF!,0))</f>
        <v>#REF!</v>
      </c>
      <c r="CG453" s="7" t="e">
        <f>IF(#REF!="","",IF(AND($CE453&gt;0,#REF!="SYRAH N"),#REF!,0))</f>
        <v>#REF!</v>
      </c>
      <c r="CH453" s="7" t="e">
        <f>IF(#REF!="","",IF(AND($CE453&gt;0,#REF!="CINSAUT N"),#REF!,0))</f>
        <v>#REF!</v>
      </c>
      <c r="CI453" s="7" t="e">
        <f>IF(#REF!="","",IF(AND($CE453&gt;0,#REF!="TIBOUREN N"),#REF!,0))</f>
        <v>#REF!</v>
      </c>
      <c r="CJ453" s="7" t="e">
        <f>IF(#REF!="","",IF(AND($CE453&gt;0,#REF!="MOURVEDRE N"),#REF!,0))</f>
        <v>#REF!</v>
      </c>
      <c r="CK453" s="7" t="e">
        <f>IF(#REF!="","",IF(AND($CE453&gt;0,#REF!="CARIGNAN N"),#REF!,0))</f>
        <v>#REF!</v>
      </c>
      <c r="CL453" s="7" t="e">
        <f>IF(#REF!="","",IF(AND($CE453&gt;0,#REF!="CABERNET SAUVIGNON N"),#REF!,0))</f>
        <v>#REF!</v>
      </c>
      <c r="CM453" s="7" t="e">
        <f>IF(#REF!="","",IF(AND($CE453&gt;0,#REF!="VERMENTINO B"),#REF!,0))</f>
        <v>#REF!</v>
      </c>
      <c r="CN453" s="7" t="e">
        <f>IF(#REF!="","",IF(AND($CE453&gt;0,#REF!="UGNI BLANC B"),#REF!,0))</f>
        <v>#REF!</v>
      </c>
      <c r="CO453" s="7" t="e">
        <f>IF(#REF!="","",IF(AND($CE453&gt;0,#REF!="CLAIRETTE B"),#REF!,0))</f>
        <v>#REF!</v>
      </c>
      <c r="CP453" s="7" t="e">
        <f>IF(#REF!="","",IF(AND($CE453&gt;0,#REF!="semillon B"),#REF!,0))</f>
        <v>#REF!</v>
      </c>
      <c r="CQ453" s="7" t="e">
        <f>IF(#REF!="","",IF(CE453=0,CC453,0))</f>
        <v>#REF!</v>
      </c>
      <c r="CR453" s="17"/>
      <c r="DE453"/>
    </row>
    <row r="454" spans="81:109" x14ac:dyDescent="0.25">
      <c r="CC454" s="7" t="e">
        <f>IF(#REF!="","",IF(#REF!="PF",#REF!,0))</f>
        <v>#REF!</v>
      </c>
      <c r="CD454" s="7" t="e">
        <f>IF(#REF!="","",IF(#REF!="PF",IF((#REF!+4)&lt;YEAR(#REF!),0,#REF!),0))</f>
        <v>#REF!</v>
      </c>
      <c r="CE454" s="7" t="e">
        <f>IF(#REF!="","",IF(AND(CD454&gt;0,#REF!&lt;&gt;""),CC454,0))</f>
        <v>#REF!</v>
      </c>
      <c r="CF454" s="7" t="e">
        <f>IF(#REF!="","",IF(AND($CE454&gt;0,#REF!= "GRENACHE N"),#REF!,0))</f>
        <v>#REF!</v>
      </c>
      <c r="CG454" s="7" t="e">
        <f>IF(#REF!="","",IF(AND($CE454&gt;0,#REF!="SYRAH N"),#REF!,0))</f>
        <v>#REF!</v>
      </c>
      <c r="CH454" s="7" t="e">
        <f>IF(#REF!="","",IF(AND($CE454&gt;0,#REF!="CINSAUT N"),#REF!,0))</f>
        <v>#REF!</v>
      </c>
      <c r="CI454" s="7" t="e">
        <f>IF(#REF!="","",IF(AND($CE454&gt;0,#REF!="TIBOUREN N"),#REF!,0))</f>
        <v>#REF!</v>
      </c>
      <c r="CJ454" s="7" t="e">
        <f>IF(#REF!="","",IF(AND($CE454&gt;0,#REF!="MOURVEDRE N"),#REF!,0))</f>
        <v>#REF!</v>
      </c>
      <c r="CK454" s="7" t="e">
        <f>IF(#REF!="","",IF(AND($CE454&gt;0,#REF!="CARIGNAN N"),#REF!,0))</f>
        <v>#REF!</v>
      </c>
      <c r="CL454" s="7" t="e">
        <f>IF(#REF!="","",IF(AND($CE454&gt;0,#REF!="CABERNET SAUVIGNON N"),#REF!,0))</f>
        <v>#REF!</v>
      </c>
      <c r="CM454" s="7" t="e">
        <f>IF(#REF!="","",IF(AND($CE454&gt;0,#REF!="VERMENTINO B"),#REF!,0))</f>
        <v>#REF!</v>
      </c>
      <c r="CN454" s="7" t="e">
        <f>IF(#REF!="","",IF(AND($CE454&gt;0,#REF!="UGNI BLANC B"),#REF!,0))</f>
        <v>#REF!</v>
      </c>
      <c r="CO454" s="7" t="e">
        <f>IF(#REF!="","",IF(AND($CE454&gt;0,#REF!="CLAIRETTE B"),#REF!,0))</f>
        <v>#REF!</v>
      </c>
      <c r="CP454" s="7" t="e">
        <f>IF(#REF!="","",IF(AND($CE454&gt;0,#REF!="semillon B"),#REF!,0))</f>
        <v>#REF!</v>
      </c>
      <c r="CQ454" s="7" t="e">
        <f>IF(#REF!="","",IF(CE454=0,CC454,0))</f>
        <v>#REF!</v>
      </c>
      <c r="CR454" s="17"/>
      <c r="DE454"/>
    </row>
    <row r="455" spans="81:109" x14ac:dyDescent="0.25">
      <c r="CC455" s="7" t="e">
        <f>IF(#REF!="","",IF(#REF!="PF",#REF!,0))</f>
        <v>#REF!</v>
      </c>
      <c r="CD455" s="7" t="e">
        <f>IF(#REF!="","",IF(#REF!="PF",IF((#REF!+4)&lt;YEAR(#REF!),0,#REF!),0))</f>
        <v>#REF!</v>
      </c>
      <c r="CE455" s="7" t="e">
        <f>IF(#REF!="","",IF(AND(CD455&gt;0,#REF!&lt;&gt;""),CC455,0))</f>
        <v>#REF!</v>
      </c>
      <c r="CF455" s="7" t="e">
        <f>IF(#REF!="","",IF(AND($CE455&gt;0,#REF!= "GRENACHE N"),#REF!,0))</f>
        <v>#REF!</v>
      </c>
      <c r="CG455" s="7" t="e">
        <f>IF(#REF!="","",IF(AND($CE455&gt;0,#REF!="SYRAH N"),#REF!,0))</f>
        <v>#REF!</v>
      </c>
      <c r="CH455" s="7" t="e">
        <f>IF(#REF!="","",IF(AND($CE455&gt;0,#REF!="CINSAUT N"),#REF!,0))</f>
        <v>#REF!</v>
      </c>
      <c r="CI455" s="7" t="e">
        <f>IF(#REF!="","",IF(AND($CE455&gt;0,#REF!="TIBOUREN N"),#REF!,0))</f>
        <v>#REF!</v>
      </c>
      <c r="CJ455" s="7" t="e">
        <f>IF(#REF!="","",IF(AND($CE455&gt;0,#REF!="MOURVEDRE N"),#REF!,0))</f>
        <v>#REF!</v>
      </c>
      <c r="CK455" s="7" t="e">
        <f>IF(#REF!="","",IF(AND($CE455&gt;0,#REF!="CARIGNAN N"),#REF!,0))</f>
        <v>#REF!</v>
      </c>
      <c r="CL455" s="7" t="e">
        <f>IF(#REF!="","",IF(AND($CE455&gt;0,#REF!="CABERNET SAUVIGNON N"),#REF!,0))</f>
        <v>#REF!</v>
      </c>
      <c r="CM455" s="7" t="e">
        <f>IF(#REF!="","",IF(AND($CE455&gt;0,#REF!="VERMENTINO B"),#REF!,0))</f>
        <v>#REF!</v>
      </c>
      <c r="CN455" s="7" t="e">
        <f>IF(#REF!="","",IF(AND($CE455&gt;0,#REF!="UGNI BLANC B"),#REF!,0))</f>
        <v>#REF!</v>
      </c>
      <c r="CO455" s="7" t="e">
        <f>IF(#REF!="","",IF(AND($CE455&gt;0,#REF!="CLAIRETTE B"),#REF!,0))</f>
        <v>#REF!</v>
      </c>
      <c r="CP455" s="7" t="e">
        <f>IF(#REF!="","",IF(AND($CE455&gt;0,#REF!="semillon B"),#REF!,0))</f>
        <v>#REF!</v>
      </c>
      <c r="CQ455" s="7" t="e">
        <f>IF(#REF!="","",IF(CE455=0,CC455,0))</f>
        <v>#REF!</v>
      </c>
      <c r="CR455" s="17"/>
      <c r="DE455"/>
    </row>
    <row r="456" spans="81:109" x14ac:dyDescent="0.25">
      <c r="CC456" s="7" t="e">
        <f>IF(#REF!="","",IF(#REF!="PF",#REF!,0))</f>
        <v>#REF!</v>
      </c>
      <c r="CD456" s="7" t="e">
        <f>IF(#REF!="","",IF(#REF!="PF",IF((#REF!+4)&lt;YEAR(#REF!),0,#REF!),0))</f>
        <v>#REF!</v>
      </c>
      <c r="CE456" s="7" t="e">
        <f>IF(#REF!="","",IF(AND(CD456&gt;0,#REF!&lt;&gt;""),CC456,0))</f>
        <v>#REF!</v>
      </c>
      <c r="CF456" s="7" t="e">
        <f>IF(#REF!="","",IF(AND($CE456&gt;0,#REF!= "GRENACHE N"),#REF!,0))</f>
        <v>#REF!</v>
      </c>
      <c r="CG456" s="7" t="e">
        <f>IF(#REF!="","",IF(AND($CE456&gt;0,#REF!="SYRAH N"),#REF!,0))</f>
        <v>#REF!</v>
      </c>
      <c r="CH456" s="7" t="e">
        <f>IF(#REF!="","",IF(AND($CE456&gt;0,#REF!="CINSAUT N"),#REF!,0))</f>
        <v>#REF!</v>
      </c>
      <c r="CI456" s="7" t="e">
        <f>IF(#REF!="","",IF(AND($CE456&gt;0,#REF!="TIBOUREN N"),#REF!,0))</f>
        <v>#REF!</v>
      </c>
      <c r="CJ456" s="7" t="e">
        <f>IF(#REF!="","",IF(AND($CE456&gt;0,#REF!="MOURVEDRE N"),#REF!,0))</f>
        <v>#REF!</v>
      </c>
      <c r="CK456" s="7" t="e">
        <f>IF(#REF!="","",IF(AND($CE456&gt;0,#REF!="CARIGNAN N"),#REF!,0))</f>
        <v>#REF!</v>
      </c>
      <c r="CL456" s="7" t="e">
        <f>IF(#REF!="","",IF(AND($CE456&gt;0,#REF!="CABERNET SAUVIGNON N"),#REF!,0))</f>
        <v>#REF!</v>
      </c>
      <c r="CM456" s="7" t="e">
        <f>IF(#REF!="","",IF(AND($CE456&gt;0,#REF!="VERMENTINO B"),#REF!,0))</f>
        <v>#REF!</v>
      </c>
      <c r="CN456" s="7" t="e">
        <f>IF(#REF!="","",IF(AND($CE456&gt;0,#REF!="UGNI BLANC B"),#REF!,0))</f>
        <v>#REF!</v>
      </c>
      <c r="CO456" s="7" t="e">
        <f>IF(#REF!="","",IF(AND($CE456&gt;0,#REF!="CLAIRETTE B"),#REF!,0))</f>
        <v>#REF!</v>
      </c>
      <c r="CP456" s="7" t="e">
        <f>IF(#REF!="","",IF(AND($CE456&gt;0,#REF!="semillon B"),#REF!,0))</f>
        <v>#REF!</v>
      </c>
      <c r="CQ456" s="7" t="e">
        <f>IF(#REF!="","",IF(CE456=0,CC456,0))</f>
        <v>#REF!</v>
      </c>
      <c r="CR456" s="17"/>
      <c r="DE456"/>
    </row>
    <row r="457" spans="81:109" x14ac:dyDescent="0.25">
      <c r="CC457" s="7" t="e">
        <f>IF(#REF!="","",IF(#REF!="PF",#REF!,0))</f>
        <v>#REF!</v>
      </c>
      <c r="CD457" s="7" t="e">
        <f>IF(#REF!="","",IF(#REF!="PF",IF((#REF!+4)&lt;YEAR(#REF!),0,#REF!),0))</f>
        <v>#REF!</v>
      </c>
      <c r="CE457" s="7" t="e">
        <f>IF(#REF!="","",IF(AND(CD457&gt;0,#REF!&lt;&gt;""),CC457,0))</f>
        <v>#REF!</v>
      </c>
      <c r="CF457" s="7" t="e">
        <f>IF(#REF!="","",IF(AND($CE457&gt;0,#REF!= "GRENACHE N"),#REF!,0))</f>
        <v>#REF!</v>
      </c>
      <c r="CG457" s="7" t="e">
        <f>IF(#REF!="","",IF(AND($CE457&gt;0,#REF!="SYRAH N"),#REF!,0))</f>
        <v>#REF!</v>
      </c>
      <c r="CH457" s="7" t="e">
        <f>IF(#REF!="","",IF(AND($CE457&gt;0,#REF!="CINSAUT N"),#REF!,0))</f>
        <v>#REF!</v>
      </c>
      <c r="CI457" s="7" t="e">
        <f>IF(#REF!="","",IF(AND($CE457&gt;0,#REF!="TIBOUREN N"),#REF!,0))</f>
        <v>#REF!</v>
      </c>
      <c r="CJ457" s="7" t="e">
        <f>IF(#REF!="","",IF(AND($CE457&gt;0,#REF!="MOURVEDRE N"),#REF!,0))</f>
        <v>#REF!</v>
      </c>
      <c r="CK457" s="7" t="e">
        <f>IF(#REF!="","",IF(AND($CE457&gt;0,#REF!="CARIGNAN N"),#REF!,0))</f>
        <v>#REF!</v>
      </c>
      <c r="CL457" s="7" t="e">
        <f>IF(#REF!="","",IF(AND($CE457&gt;0,#REF!="CABERNET SAUVIGNON N"),#REF!,0))</f>
        <v>#REF!</v>
      </c>
      <c r="CM457" s="7" t="e">
        <f>IF(#REF!="","",IF(AND($CE457&gt;0,#REF!="VERMENTINO B"),#REF!,0))</f>
        <v>#REF!</v>
      </c>
      <c r="CN457" s="7" t="e">
        <f>IF(#REF!="","",IF(AND($CE457&gt;0,#REF!="UGNI BLANC B"),#REF!,0))</f>
        <v>#REF!</v>
      </c>
      <c r="CO457" s="7" t="e">
        <f>IF(#REF!="","",IF(AND($CE457&gt;0,#REF!="CLAIRETTE B"),#REF!,0))</f>
        <v>#REF!</v>
      </c>
      <c r="CP457" s="7" t="e">
        <f>IF(#REF!="","",IF(AND($CE457&gt;0,#REF!="semillon B"),#REF!,0))</f>
        <v>#REF!</v>
      </c>
      <c r="CQ457" s="7" t="e">
        <f>IF(#REF!="","",IF(CE457=0,CC457,0))</f>
        <v>#REF!</v>
      </c>
      <c r="CR457" s="17"/>
      <c r="DE457"/>
    </row>
    <row r="458" spans="81:109" x14ac:dyDescent="0.25">
      <c r="CC458" s="7" t="e">
        <f>IF(#REF!="","",IF(#REF!="PF",#REF!,0))</f>
        <v>#REF!</v>
      </c>
      <c r="CD458" s="7" t="e">
        <f>IF(#REF!="","",IF(#REF!="PF",IF((#REF!+4)&lt;YEAR(#REF!),0,#REF!),0))</f>
        <v>#REF!</v>
      </c>
      <c r="CE458" s="7" t="e">
        <f>IF(#REF!="","",IF(AND(CD458&gt;0,#REF!&lt;&gt;""),CC458,0))</f>
        <v>#REF!</v>
      </c>
      <c r="CF458" s="7" t="e">
        <f>IF(#REF!="","",IF(AND($CE458&gt;0,#REF!= "GRENACHE N"),#REF!,0))</f>
        <v>#REF!</v>
      </c>
      <c r="CG458" s="7" t="e">
        <f>IF(#REF!="","",IF(AND($CE458&gt;0,#REF!="SYRAH N"),#REF!,0))</f>
        <v>#REF!</v>
      </c>
      <c r="CH458" s="7" t="e">
        <f>IF(#REF!="","",IF(AND($CE458&gt;0,#REF!="CINSAUT N"),#REF!,0))</f>
        <v>#REF!</v>
      </c>
      <c r="CI458" s="7" t="e">
        <f>IF(#REF!="","",IF(AND($CE458&gt;0,#REF!="TIBOUREN N"),#REF!,0))</f>
        <v>#REF!</v>
      </c>
      <c r="CJ458" s="7" t="e">
        <f>IF(#REF!="","",IF(AND($CE458&gt;0,#REF!="MOURVEDRE N"),#REF!,0))</f>
        <v>#REF!</v>
      </c>
      <c r="CK458" s="7" t="e">
        <f>IF(#REF!="","",IF(AND($CE458&gt;0,#REF!="CARIGNAN N"),#REF!,0))</f>
        <v>#REF!</v>
      </c>
      <c r="CL458" s="7" t="e">
        <f>IF(#REF!="","",IF(AND($CE458&gt;0,#REF!="CABERNET SAUVIGNON N"),#REF!,0))</f>
        <v>#REF!</v>
      </c>
      <c r="CM458" s="7" t="e">
        <f>IF(#REF!="","",IF(AND($CE458&gt;0,#REF!="VERMENTINO B"),#REF!,0))</f>
        <v>#REF!</v>
      </c>
      <c r="CN458" s="7" t="e">
        <f>IF(#REF!="","",IF(AND($CE458&gt;0,#REF!="UGNI BLANC B"),#REF!,0))</f>
        <v>#REF!</v>
      </c>
      <c r="CO458" s="7" t="e">
        <f>IF(#REF!="","",IF(AND($CE458&gt;0,#REF!="CLAIRETTE B"),#REF!,0))</f>
        <v>#REF!</v>
      </c>
      <c r="CP458" s="7" t="e">
        <f>IF(#REF!="","",IF(AND($CE458&gt;0,#REF!="semillon B"),#REF!,0))</f>
        <v>#REF!</v>
      </c>
      <c r="CQ458" s="7" t="e">
        <f>IF(#REF!="","",IF(CE458=0,CC458,0))</f>
        <v>#REF!</v>
      </c>
      <c r="CR458" s="17"/>
      <c r="DE458"/>
    </row>
    <row r="459" spans="81:109" x14ac:dyDescent="0.25">
      <c r="CC459" s="7" t="e">
        <f>IF(#REF!="","",IF(#REF!="PF",#REF!,0))</f>
        <v>#REF!</v>
      </c>
      <c r="CD459" s="7" t="e">
        <f>IF(#REF!="","",IF(#REF!="PF",IF((#REF!+4)&lt;YEAR(#REF!),0,#REF!),0))</f>
        <v>#REF!</v>
      </c>
      <c r="CE459" s="7" t="e">
        <f>IF(#REF!="","",IF(AND(CD459&gt;0,#REF!&lt;&gt;""),CC459,0))</f>
        <v>#REF!</v>
      </c>
      <c r="CF459" s="7" t="e">
        <f>IF(#REF!="","",IF(AND($CE459&gt;0,#REF!= "GRENACHE N"),#REF!,0))</f>
        <v>#REF!</v>
      </c>
      <c r="CG459" s="7" t="e">
        <f>IF(#REF!="","",IF(AND($CE459&gt;0,#REF!="SYRAH N"),#REF!,0))</f>
        <v>#REF!</v>
      </c>
      <c r="CH459" s="7" t="e">
        <f>IF(#REF!="","",IF(AND($CE459&gt;0,#REF!="CINSAUT N"),#REF!,0))</f>
        <v>#REF!</v>
      </c>
      <c r="CI459" s="7" t="e">
        <f>IF(#REF!="","",IF(AND($CE459&gt;0,#REF!="TIBOUREN N"),#REF!,0))</f>
        <v>#REF!</v>
      </c>
      <c r="CJ459" s="7" t="e">
        <f>IF(#REF!="","",IF(AND($CE459&gt;0,#REF!="MOURVEDRE N"),#REF!,0))</f>
        <v>#REF!</v>
      </c>
      <c r="CK459" s="7" t="e">
        <f>IF(#REF!="","",IF(AND($CE459&gt;0,#REF!="CARIGNAN N"),#REF!,0))</f>
        <v>#REF!</v>
      </c>
      <c r="CL459" s="7" t="e">
        <f>IF(#REF!="","",IF(AND($CE459&gt;0,#REF!="CABERNET SAUVIGNON N"),#REF!,0))</f>
        <v>#REF!</v>
      </c>
      <c r="CM459" s="7" t="e">
        <f>IF(#REF!="","",IF(AND($CE459&gt;0,#REF!="VERMENTINO B"),#REF!,0))</f>
        <v>#REF!</v>
      </c>
      <c r="CN459" s="7" t="e">
        <f>IF(#REF!="","",IF(AND($CE459&gt;0,#REF!="UGNI BLANC B"),#REF!,0))</f>
        <v>#REF!</v>
      </c>
      <c r="CO459" s="7" t="e">
        <f>IF(#REF!="","",IF(AND($CE459&gt;0,#REF!="CLAIRETTE B"),#REF!,0))</f>
        <v>#REF!</v>
      </c>
      <c r="CP459" s="7" t="e">
        <f>IF(#REF!="","",IF(AND($CE459&gt;0,#REF!="semillon B"),#REF!,0))</f>
        <v>#REF!</v>
      </c>
      <c r="CQ459" s="7" t="e">
        <f>IF(#REF!="","",IF(CE459=0,CC459,0))</f>
        <v>#REF!</v>
      </c>
      <c r="CR459" s="17"/>
      <c r="DE459"/>
    </row>
    <row r="460" spans="81:109" x14ac:dyDescent="0.25">
      <c r="CC460" s="7" t="e">
        <f>IF(#REF!="","",IF(#REF!="PF",#REF!,0))</f>
        <v>#REF!</v>
      </c>
      <c r="CD460" s="7" t="e">
        <f>IF(#REF!="","",IF(#REF!="PF",IF((#REF!+4)&lt;YEAR(#REF!),0,#REF!),0))</f>
        <v>#REF!</v>
      </c>
      <c r="CE460" s="7" t="e">
        <f>IF(#REF!="","",IF(AND(CD460&gt;0,#REF!&lt;&gt;""),CC460,0))</f>
        <v>#REF!</v>
      </c>
      <c r="CF460" s="7" t="e">
        <f>IF(#REF!="","",IF(AND($CE460&gt;0,#REF!= "GRENACHE N"),#REF!,0))</f>
        <v>#REF!</v>
      </c>
      <c r="CG460" s="7" t="e">
        <f>IF(#REF!="","",IF(AND($CE460&gt;0,#REF!="SYRAH N"),#REF!,0))</f>
        <v>#REF!</v>
      </c>
      <c r="CH460" s="7" t="e">
        <f>IF(#REF!="","",IF(AND($CE460&gt;0,#REF!="CINSAUT N"),#REF!,0))</f>
        <v>#REF!</v>
      </c>
      <c r="CI460" s="7" t="e">
        <f>IF(#REF!="","",IF(AND($CE460&gt;0,#REF!="TIBOUREN N"),#REF!,0))</f>
        <v>#REF!</v>
      </c>
      <c r="CJ460" s="7" t="e">
        <f>IF(#REF!="","",IF(AND($CE460&gt;0,#REF!="MOURVEDRE N"),#REF!,0))</f>
        <v>#REF!</v>
      </c>
      <c r="CK460" s="7" t="e">
        <f>IF(#REF!="","",IF(AND($CE460&gt;0,#REF!="CARIGNAN N"),#REF!,0))</f>
        <v>#REF!</v>
      </c>
      <c r="CL460" s="7" t="e">
        <f>IF(#REF!="","",IF(AND($CE460&gt;0,#REF!="CABERNET SAUVIGNON N"),#REF!,0))</f>
        <v>#REF!</v>
      </c>
      <c r="CM460" s="7" t="e">
        <f>IF(#REF!="","",IF(AND($CE460&gt;0,#REF!="VERMENTINO B"),#REF!,0))</f>
        <v>#REF!</v>
      </c>
      <c r="CN460" s="7" t="e">
        <f>IF(#REF!="","",IF(AND($CE460&gt;0,#REF!="UGNI BLANC B"),#REF!,0))</f>
        <v>#REF!</v>
      </c>
      <c r="CO460" s="7" t="e">
        <f>IF(#REF!="","",IF(AND($CE460&gt;0,#REF!="CLAIRETTE B"),#REF!,0))</f>
        <v>#REF!</v>
      </c>
      <c r="CP460" s="7" t="e">
        <f>IF(#REF!="","",IF(AND($CE460&gt;0,#REF!="semillon B"),#REF!,0))</f>
        <v>#REF!</v>
      </c>
      <c r="CQ460" s="7" t="e">
        <f>IF(#REF!="","",IF(CE460=0,CC460,0))</f>
        <v>#REF!</v>
      </c>
      <c r="CR460" s="17"/>
      <c r="DE460"/>
    </row>
    <row r="461" spans="81:109" x14ac:dyDescent="0.25">
      <c r="CC461" s="7" t="e">
        <f>IF(#REF!="","",IF(#REF!="PF",#REF!,0))</f>
        <v>#REF!</v>
      </c>
      <c r="CD461" s="7" t="e">
        <f>IF(#REF!="","",IF(#REF!="PF",IF((#REF!+4)&lt;YEAR(#REF!),0,#REF!),0))</f>
        <v>#REF!</v>
      </c>
      <c r="CE461" s="7" t="e">
        <f>IF(#REF!="","",IF(AND(CD461&gt;0,#REF!&lt;&gt;""),CC461,0))</f>
        <v>#REF!</v>
      </c>
      <c r="CF461" s="7" t="e">
        <f>IF(#REF!="","",IF(AND($CE461&gt;0,#REF!= "GRENACHE N"),#REF!,0))</f>
        <v>#REF!</v>
      </c>
      <c r="CG461" s="7" t="e">
        <f>IF(#REF!="","",IF(AND($CE461&gt;0,#REF!="SYRAH N"),#REF!,0))</f>
        <v>#REF!</v>
      </c>
      <c r="CH461" s="7" t="e">
        <f>IF(#REF!="","",IF(AND($CE461&gt;0,#REF!="CINSAUT N"),#REF!,0))</f>
        <v>#REF!</v>
      </c>
      <c r="CI461" s="7" t="e">
        <f>IF(#REF!="","",IF(AND($CE461&gt;0,#REF!="TIBOUREN N"),#REF!,0))</f>
        <v>#REF!</v>
      </c>
      <c r="CJ461" s="7" t="e">
        <f>IF(#REF!="","",IF(AND($CE461&gt;0,#REF!="MOURVEDRE N"),#REF!,0))</f>
        <v>#REF!</v>
      </c>
      <c r="CK461" s="7" t="e">
        <f>IF(#REF!="","",IF(AND($CE461&gt;0,#REF!="CARIGNAN N"),#REF!,0))</f>
        <v>#REF!</v>
      </c>
      <c r="CL461" s="7" t="e">
        <f>IF(#REF!="","",IF(AND($CE461&gt;0,#REF!="CABERNET SAUVIGNON N"),#REF!,0))</f>
        <v>#REF!</v>
      </c>
      <c r="CM461" s="7" t="e">
        <f>IF(#REF!="","",IF(AND($CE461&gt;0,#REF!="VERMENTINO B"),#REF!,0))</f>
        <v>#REF!</v>
      </c>
      <c r="CN461" s="7" t="e">
        <f>IF(#REF!="","",IF(AND($CE461&gt;0,#REF!="UGNI BLANC B"),#REF!,0))</f>
        <v>#REF!</v>
      </c>
      <c r="CO461" s="7" t="e">
        <f>IF(#REF!="","",IF(AND($CE461&gt;0,#REF!="CLAIRETTE B"),#REF!,0))</f>
        <v>#REF!</v>
      </c>
      <c r="CP461" s="7" t="e">
        <f>IF(#REF!="","",IF(AND($CE461&gt;0,#REF!="semillon B"),#REF!,0))</f>
        <v>#REF!</v>
      </c>
      <c r="CQ461" s="7" t="e">
        <f>IF(#REF!="","",IF(CE461=0,CC461,0))</f>
        <v>#REF!</v>
      </c>
      <c r="CR461" s="17"/>
      <c r="DE461"/>
    </row>
    <row r="462" spans="81:109" x14ac:dyDescent="0.25">
      <c r="CC462" s="7" t="e">
        <f>IF(#REF!="","",IF(#REF!="PF",#REF!,0))</f>
        <v>#REF!</v>
      </c>
      <c r="CD462" s="7" t="e">
        <f>IF(#REF!="","",IF(#REF!="PF",IF((#REF!+4)&lt;YEAR(#REF!),0,#REF!),0))</f>
        <v>#REF!</v>
      </c>
      <c r="CE462" s="7" t="e">
        <f>IF(#REF!="","",IF(AND(CD462&gt;0,#REF!&lt;&gt;""),CC462,0))</f>
        <v>#REF!</v>
      </c>
      <c r="CF462" s="7" t="e">
        <f>IF(#REF!="","",IF(AND($CE462&gt;0,#REF!= "GRENACHE N"),#REF!,0))</f>
        <v>#REF!</v>
      </c>
      <c r="CG462" s="7" t="e">
        <f>IF(#REF!="","",IF(AND($CE462&gt;0,#REF!="SYRAH N"),#REF!,0))</f>
        <v>#REF!</v>
      </c>
      <c r="CH462" s="7" t="e">
        <f>IF(#REF!="","",IF(AND($CE462&gt;0,#REF!="CINSAUT N"),#REF!,0))</f>
        <v>#REF!</v>
      </c>
      <c r="CI462" s="7" t="e">
        <f>IF(#REF!="","",IF(AND($CE462&gt;0,#REF!="TIBOUREN N"),#REF!,0))</f>
        <v>#REF!</v>
      </c>
      <c r="CJ462" s="7" t="e">
        <f>IF(#REF!="","",IF(AND($CE462&gt;0,#REF!="MOURVEDRE N"),#REF!,0))</f>
        <v>#REF!</v>
      </c>
      <c r="CK462" s="7" t="e">
        <f>IF(#REF!="","",IF(AND($CE462&gt;0,#REF!="CARIGNAN N"),#REF!,0))</f>
        <v>#REF!</v>
      </c>
      <c r="CL462" s="7" t="e">
        <f>IF(#REF!="","",IF(AND($CE462&gt;0,#REF!="CABERNET SAUVIGNON N"),#REF!,0))</f>
        <v>#REF!</v>
      </c>
      <c r="CM462" s="7" t="e">
        <f>IF(#REF!="","",IF(AND($CE462&gt;0,#REF!="VERMENTINO B"),#REF!,0))</f>
        <v>#REF!</v>
      </c>
      <c r="CN462" s="7" t="e">
        <f>IF(#REF!="","",IF(AND($CE462&gt;0,#REF!="UGNI BLANC B"),#REF!,0))</f>
        <v>#REF!</v>
      </c>
      <c r="CO462" s="7" t="e">
        <f>IF(#REF!="","",IF(AND($CE462&gt;0,#REF!="CLAIRETTE B"),#REF!,0))</f>
        <v>#REF!</v>
      </c>
      <c r="CP462" s="7" t="e">
        <f>IF(#REF!="","",IF(AND($CE462&gt;0,#REF!="semillon B"),#REF!,0))</f>
        <v>#REF!</v>
      </c>
      <c r="CQ462" s="7" t="e">
        <f>IF(#REF!="","",IF(CE462=0,CC462,0))</f>
        <v>#REF!</v>
      </c>
      <c r="CR462" s="17"/>
      <c r="DE462"/>
    </row>
    <row r="463" spans="81:109" x14ac:dyDescent="0.25">
      <c r="CC463" s="7" t="e">
        <f>IF(#REF!="","",IF(#REF!="PF",#REF!,0))</f>
        <v>#REF!</v>
      </c>
      <c r="CD463" s="7" t="e">
        <f>IF(#REF!="","",IF(#REF!="PF",IF((#REF!+4)&lt;YEAR(#REF!),0,#REF!),0))</f>
        <v>#REF!</v>
      </c>
      <c r="CE463" s="7" t="e">
        <f>IF(#REF!="","",IF(AND(CD463&gt;0,#REF!&lt;&gt;""),CC463,0))</f>
        <v>#REF!</v>
      </c>
      <c r="CF463" s="7" t="e">
        <f>IF(#REF!="","",IF(AND($CE463&gt;0,#REF!= "GRENACHE N"),#REF!,0))</f>
        <v>#REF!</v>
      </c>
      <c r="CG463" s="7" t="e">
        <f>IF(#REF!="","",IF(AND($CE463&gt;0,#REF!="SYRAH N"),#REF!,0))</f>
        <v>#REF!</v>
      </c>
      <c r="CH463" s="7" t="e">
        <f>IF(#REF!="","",IF(AND($CE463&gt;0,#REF!="CINSAUT N"),#REF!,0))</f>
        <v>#REF!</v>
      </c>
      <c r="CI463" s="7" t="e">
        <f>IF(#REF!="","",IF(AND($CE463&gt;0,#REF!="TIBOUREN N"),#REF!,0))</f>
        <v>#REF!</v>
      </c>
      <c r="CJ463" s="7" t="e">
        <f>IF(#REF!="","",IF(AND($CE463&gt;0,#REF!="MOURVEDRE N"),#REF!,0))</f>
        <v>#REF!</v>
      </c>
      <c r="CK463" s="7" t="e">
        <f>IF(#REF!="","",IF(AND($CE463&gt;0,#REF!="CARIGNAN N"),#REF!,0))</f>
        <v>#REF!</v>
      </c>
      <c r="CL463" s="7" t="e">
        <f>IF(#REF!="","",IF(AND($CE463&gt;0,#REF!="CABERNET SAUVIGNON N"),#REF!,0))</f>
        <v>#REF!</v>
      </c>
      <c r="CM463" s="7" t="e">
        <f>IF(#REF!="","",IF(AND($CE463&gt;0,#REF!="VERMENTINO B"),#REF!,0))</f>
        <v>#REF!</v>
      </c>
      <c r="CN463" s="7" t="e">
        <f>IF(#REF!="","",IF(AND($CE463&gt;0,#REF!="UGNI BLANC B"),#REF!,0))</f>
        <v>#REF!</v>
      </c>
      <c r="CO463" s="7" t="e">
        <f>IF(#REF!="","",IF(AND($CE463&gt;0,#REF!="CLAIRETTE B"),#REF!,0))</f>
        <v>#REF!</v>
      </c>
      <c r="CP463" s="7" t="e">
        <f>IF(#REF!="","",IF(AND($CE463&gt;0,#REF!="semillon B"),#REF!,0))</f>
        <v>#REF!</v>
      </c>
      <c r="CQ463" s="7" t="e">
        <f>IF(#REF!="","",IF(CE463=0,CC463,0))</f>
        <v>#REF!</v>
      </c>
      <c r="CR463" s="17"/>
      <c r="DE463"/>
    </row>
    <row r="464" spans="81:109" x14ac:dyDescent="0.25">
      <c r="CC464" s="7" t="e">
        <f>IF(#REF!="","",IF(#REF!="PF",#REF!,0))</f>
        <v>#REF!</v>
      </c>
      <c r="CD464" s="7" t="e">
        <f>IF(#REF!="","",IF(#REF!="PF",IF((#REF!+4)&lt;YEAR(#REF!),0,#REF!),0))</f>
        <v>#REF!</v>
      </c>
      <c r="CE464" s="7" t="e">
        <f>IF(#REF!="","",IF(AND(CD464&gt;0,#REF!&lt;&gt;""),CC464,0))</f>
        <v>#REF!</v>
      </c>
      <c r="CF464" s="7" t="e">
        <f>IF(#REF!="","",IF(AND($CE464&gt;0,#REF!= "GRENACHE N"),#REF!,0))</f>
        <v>#REF!</v>
      </c>
      <c r="CG464" s="7" t="e">
        <f>IF(#REF!="","",IF(AND($CE464&gt;0,#REF!="SYRAH N"),#REF!,0))</f>
        <v>#REF!</v>
      </c>
      <c r="CH464" s="7" t="e">
        <f>IF(#REF!="","",IF(AND($CE464&gt;0,#REF!="CINSAUT N"),#REF!,0))</f>
        <v>#REF!</v>
      </c>
      <c r="CI464" s="7" t="e">
        <f>IF(#REF!="","",IF(AND($CE464&gt;0,#REF!="TIBOUREN N"),#REF!,0))</f>
        <v>#REF!</v>
      </c>
      <c r="CJ464" s="7" t="e">
        <f>IF(#REF!="","",IF(AND($CE464&gt;0,#REF!="MOURVEDRE N"),#REF!,0))</f>
        <v>#REF!</v>
      </c>
      <c r="CK464" s="7" t="e">
        <f>IF(#REF!="","",IF(AND($CE464&gt;0,#REF!="CARIGNAN N"),#REF!,0))</f>
        <v>#REF!</v>
      </c>
      <c r="CL464" s="7" t="e">
        <f>IF(#REF!="","",IF(AND($CE464&gt;0,#REF!="CABERNET SAUVIGNON N"),#REF!,0))</f>
        <v>#REF!</v>
      </c>
      <c r="CM464" s="7" t="e">
        <f>IF(#REF!="","",IF(AND($CE464&gt;0,#REF!="VERMENTINO B"),#REF!,0))</f>
        <v>#REF!</v>
      </c>
      <c r="CN464" s="7" t="e">
        <f>IF(#REF!="","",IF(AND($CE464&gt;0,#REF!="UGNI BLANC B"),#REF!,0))</f>
        <v>#REF!</v>
      </c>
      <c r="CO464" s="7" t="e">
        <f>IF(#REF!="","",IF(AND($CE464&gt;0,#REF!="CLAIRETTE B"),#REF!,0))</f>
        <v>#REF!</v>
      </c>
      <c r="CP464" s="7" t="e">
        <f>IF(#REF!="","",IF(AND($CE464&gt;0,#REF!="semillon B"),#REF!,0))</f>
        <v>#REF!</v>
      </c>
      <c r="CQ464" s="7" t="e">
        <f>IF(#REF!="","",IF(CE464=0,CC464,0))</f>
        <v>#REF!</v>
      </c>
      <c r="CR464" s="17"/>
      <c r="DE464"/>
    </row>
    <row r="465" spans="81:109" x14ac:dyDescent="0.25">
      <c r="CC465" s="7" t="e">
        <f>IF(#REF!="","",IF(#REF!="PF",#REF!,0))</f>
        <v>#REF!</v>
      </c>
      <c r="CD465" s="7" t="e">
        <f>IF(#REF!="","",IF(#REF!="PF",IF((#REF!+4)&lt;YEAR(#REF!),0,#REF!),0))</f>
        <v>#REF!</v>
      </c>
      <c r="CE465" s="7" t="e">
        <f>IF(#REF!="","",IF(AND(CD465&gt;0,#REF!&lt;&gt;""),CC465,0))</f>
        <v>#REF!</v>
      </c>
      <c r="CF465" s="7" t="e">
        <f>IF(#REF!="","",IF(AND($CE465&gt;0,#REF!= "GRENACHE N"),#REF!,0))</f>
        <v>#REF!</v>
      </c>
      <c r="CG465" s="7" t="e">
        <f>IF(#REF!="","",IF(AND($CE465&gt;0,#REF!="SYRAH N"),#REF!,0))</f>
        <v>#REF!</v>
      </c>
      <c r="CH465" s="7" t="e">
        <f>IF(#REF!="","",IF(AND($CE465&gt;0,#REF!="CINSAUT N"),#REF!,0))</f>
        <v>#REF!</v>
      </c>
      <c r="CI465" s="7" t="e">
        <f>IF(#REF!="","",IF(AND($CE465&gt;0,#REF!="TIBOUREN N"),#REF!,0))</f>
        <v>#REF!</v>
      </c>
      <c r="CJ465" s="7" t="e">
        <f>IF(#REF!="","",IF(AND($CE465&gt;0,#REF!="MOURVEDRE N"),#REF!,0))</f>
        <v>#REF!</v>
      </c>
      <c r="CK465" s="7" t="e">
        <f>IF(#REF!="","",IF(AND($CE465&gt;0,#REF!="CARIGNAN N"),#REF!,0))</f>
        <v>#REF!</v>
      </c>
      <c r="CL465" s="7" t="e">
        <f>IF(#REF!="","",IF(AND($CE465&gt;0,#REF!="CABERNET SAUVIGNON N"),#REF!,0))</f>
        <v>#REF!</v>
      </c>
      <c r="CM465" s="7" t="e">
        <f>IF(#REF!="","",IF(AND($CE465&gt;0,#REF!="VERMENTINO B"),#REF!,0))</f>
        <v>#REF!</v>
      </c>
      <c r="CN465" s="7" t="e">
        <f>IF(#REF!="","",IF(AND($CE465&gt;0,#REF!="UGNI BLANC B"),#REF!,0))</f>
        <v>#REF!</v>
      </c>
      <c r="CO465" s="7" t="e">
        <f>IF(#REF!="","",IF(AND($CE465&gt;0,#REF!="CLAIRETTE B"),#REF!,0))</f>
        <v>#REF!</v>
      </c>
      <c r="CP465" s="7" t="e">
        <f>IF(#REF!="","",IF(AND($CE465&gt;0,#REF!="semillon B"),#REF!,0))</f>
        <v>#REF!</v>
      </c>
      <c r="CQ465" s="7" t="e">
        <f>IF(#REF!="","",IF(CE465=0,CC465,0))</f>
        <v>#REF!</v>
      </c>
      <c r="CR465" s="17"/>
      <c r="DE465"/>
    </row>
    <row r="466" spans="81:109" x14ac:dyDescent="0.25">
      <c r="CC466" s="7" t="e">
        <f>IF(#REF!="","",IF(#REF!="PF",#REF!,0))</f>
        <v>#REF!</v>
      </c>
      <c r="CD466" s="7" t="e">
        <f>IF(#REF!="","",IF(#REF!="PF",IF((#REF!+4)&lt;YEAR(#REF!),0,#REF!),0))</f>
        <v>#REF!</v>
      </c>
      <c r="CE466" s="7" t="e">
        <f>IF(#REF!="","",IF(AND(CD466&gt;0,#REF!&lt;&gt;""),CC466,0))</f>
        <v>#REF!</v>
      </c>
      <c r="CF466" s="7" t="e">
        <f>IF(#REF!="","",IF(AND($CE466&gt;0,#REF!= "GRENACHE N"),#REF!,0))</f>
        <v>#REF!</v>
      </c>
      <c r="CG466" s="7" t="e">
        <f>IF(#REF!="","",IF(AND($CE466&gt;0,#REF!="SYRAH N"),#REF!,0))</f>
        <v>#REF!</v>
      </c>
      <c r="CH466" s="7" t="e">
        <f>IF(#REF!="","",IF(AND($CE466&gt;0,#REF!="CINSAUT N"),#REF!,0))</f>
        <v>#REF!</v>
      </c>
      <c r="CI466" s="7" t="e">
        <f>IF(#REF!="","",IF(AND($CE466&gt;0,#REF!="TIBOUREN N"),#REF!,0))</f>
        <v>#REF!</v>
      </c>
      <c r="CJ466" s="7" t="e">
        <f>IF(#REF!="","",IF(AND($CE466&gt;0,#REF!="MOURVEDRE N"),#REF!,0))</f>
        <v>#REF!</v>
      </c>
      <c r="CK466" s="7" t="e">
        <f>IF(#REF!="","",IF(AND($CE466&gt;0,#REF!="CARIGNAN N"),#REF!,0))</f>
        <v>#REF!</v>
      </c>
      <c r="CL466" s="7" t="e">
        <f>IF(#REF!="","",IF(AND($CE466&gt;0,#REF!="CABERNET SAUVIGNON N"),#REF!,0))</f>
        <v>#REF!</v>
      </c>
      <c r="CM466" s="7" t="e">
        <f>IF(#REF!="","",IF(AND($CE466&gt;0,#REF!="VERMENTINO B"),#REF!,0))</f>
        <v>#REF!</v>
      </c>
      <c r="CN466" s="7" t="e">
        <f>IF(#REF!="","",IF(AND($CE466&gt;0,#REF!="UGNI BLANC B"),#REF!,0))</f>
        <v>#REF!</v>
      </c>
      <c r="CO466" s="7" t="e">
        <f>IF(#REF!="","",IF(AND($CE466&gt;0,#REF!="CLAIRETTE B"),#REF!,0))</f>
        <v>#REF!</v>
      </c>
      <c r="CP466" s="7" t="e">
        <f>IF(#REF!="","",IF(AND($CE466&gt;0,#REF!="semillon B"),#REF!,0))</f>
        <v>#REF!</v>
      </c>
      <c r="CQ466" s="7" t="e">
        <f>IF(#REF!="","",IF(CE466=0,CC466,0))</f>
        <v>#REF!</v>
      </c>
      <c r="CR466" s="17"/>
      <c r="DE466"/>
    </row>
    <row r="467" spans="81:109" x14ac:dyDescent="0.25">
      <c r="CC467" s="7" t="e">
        <f>IF(#REF!="","",IF(#REF!="PF",#REF!,0))</f>
        <v>#REF!</v>
      </c>
      <c r="CD467" s="7" t="e">
        <f>IF(#REF!="","",IF(#REF!="PF",IF((#REF!+4)&lt;YEAR(#REF!),0,#REF!),0))</f>
        <v>#REF!</v>
      </c>
      <c r="CE467" s="7" t="e">
        <f>IF(#REF!="","",IF(AND(CD467&gt;0,#REF!&lt;&gt;""),CC467,0))</f>
        <v>#REF!</v>
      </c>
      <c r="CF467" s="7" t="e">
        <f>IF(#REF!="","",IF(AND($CE467&gt;0,#REF!= "GRENACHE N"),#REF!,0))</f>
        <v>#REF!</v>
      </c>
      <c r="CG467" s="7" t="e">
        <f>IF(#REF!="","",IF(AND($CE467&gt;0,#REF!="SYRAH N"),#REF!,0))</f>
        <v>#REF!</v>
      </c>
      <c r="CH467" s="7" t="e">
        <f>IF(#REF!="","",IF(AND($CE467&gt;0,#REF!="CINSAUT N"),#REF!,0))</f>
        <v>#REF!</v>
      </c>
      <c r="CI467" s="7" t="e">
        <f>IF(#REF!="","",IF(AND($CE467&gt;0,#REF!="TIBOUREN N"),#REF!,0))</f>
        <v>#REF!</v>
      </c>
      <c r="CJ467" s="7" t="e">
        <f>IF(#REF!="","",IF(AND($CE467&gt;0,#REF!="MOURVEDRE N"),#REF!,0))</f>
        <v>#REF!</v>
      </c>
      <c r="CK467" s="7" t="e">
        <f>IF(#REF!="","",IF(AND($CE467&gt;0,#REF!="CARIGNAN N"),#REF!,0))</f>
        <v>#REF!</v>
      </c>
      <c r="CL467" s="7" t="e">
        <f>IF(#REF!="","",IF(AND($CE467&gt;0,#REF!="CABERNET SAUVIGNON N"),#REF!,0))</f>
        <v>#REF!</v>
      </c>
      <c r="CM467" s="7" t="e">
        <f>IF(#REF!="","",IF(AND($CE467&gt;0,#REF!="VERMENTINO B"),#REF!,0))</f>
        <v>#REF!</v>
      </c>
      <c r="CN467" s="7" t="e">
        <f>IF(#REF!="","",IF(AND($CE467&gt;0,#REF!="UGNI BLANC B"),#REF!,0))</f>
        <v>#REF!</v>
      </c>
      <c r="CO467" s="7" t="e">
        <f>IF(#REF!="","",IF(AND($CE467&gt;0,#REF!="CLAIRETTE B"),#REF!,0))</f>
        <v>#REF!</v>
      </c>
      <c r="CP467" s="7" t="e">
        <f>IF(#REF!="","",IF(AND($CE467&gt;0,#REF!="semillon B"),#REF!,0))</f>
        <v>#REF!</v>
      </c>
      <c r="CQ467" s="7" t="e">
        <f>IF(#REF!="","",IF(CE467=0,CC467,0))</f>
        <v>#REF!</v>
      </c>
      <c r="CR467" s="17"/>
      <c r="DE467"/>
    </row>
    <row r="468" spans="81:109" x14ac:dyDescent="0.25">
      <c r="CC468" s="7" t="e">
        <f>IF(#REF!="","",IF(#REF!="PF",#REF!,0))</f>
        <v>#REF!</v>
      </c>
      <c r="CD468" s="7" t="e">
        <f>IF(#REF!="","",IF(#REF!="PF",IF((#REF!+4)&lt;YEAR(#REF!),0,#REF!),0))</f>
        <v>#REF!</v>
      </c>
      <c r="CE468" s="7" t="e">
        <f>IF(#REF!="","",IF(AND(CD468&gt;0,#REF!&lt;&gt;""),CC468,0))</f>
        <v>#REF!</v>
      </c>
      <c r="CF468" s="7" t="e">
        <f>IF(#REF!="","",IF(AND($CE468&gt;0,#REF!= "GRENACHE N"),#REF!,0))</f>
        <v>#REF!</v>
      </c>
      <c r="CG468" s="7" t="e">
        <f>IF(#REF!="","",IF(AND($CE468&gt;0,#REF!="SYRAH N"),#REF!,0))</f>
        <v>#REF!</v>
      </c>
      <c r="CH468" s="7" t="e">
        <f>IF(#REF!="","",IF(AND($CE468&gt;0,#REF!="CINSAUT N"),#REF!,0))</f>
        <v>#REF!</v>
      </c>
      <c r="CI468" s="7" t="e">
        <f>IF(#REF!="","",IF(AND($CE468&gt;0,#REF!="TIBOUREN N"),#REF!,0))</f>
        <v>#REF!</v>
      </c>
      <c r="CJ468" s="7" t="e">
        <f>IF(#REF!="","",IF(AND($CE468&gt;0,#REF!="MOURVEDRE N"),#REF!,0))</f>
        <v>#REF!</v>
      </c>
      <c r="CK468" s="7" t="e">
        <f>IF(#REF!="","",IF(AND($CE468&gt;0,#REF!="CARIGNAN N"),#REF!,0))</f>
        <v>#REF!</v>
      </c>
      <c r="CL468" s="7" t="e">
        <f>IF(#REF!="","",IF(AND($CE468&gt;0,#REF!="CABERNET SAUVIGNON N"),#REF!,0))</f>
        <v>#REF!</v>
      </c>
      <c r="CM468" s="7" t="e">
        <f>IF(#REF!="","",IF(AND($CE468&gt;0,#REF!="VERMENTINO B"),#REF!,0))</f>
        <v>#REF!</v>
      </c>
      <c r="CN468" s="7" t="e">
        <f>IF(#REF!="","",IF(AND($CE468&gt;0,#REF!="UGNI BLANC B"),#REF!,0))</f>
        <v>#REF!</v>
      </c>
      <c r="CO468" s="7" t="e">
        <f>IF(#REF!="","",IF(AND($CE468&gt;0,#REF!="CLAIRETTE B"),#REF!,0))</f>
        <v>#REF!</v>
      </c>
      <c r="CP468" s="7" t="e">
        <f>IF(#REF!="","",IF(AND($CE468&gt;0,#REF!="semillon B"),#REF!,0))</f>
        <v>#REF!</v>
      </c>
      <c r="CQ468" s="7" t="e">
        <f>IF(#REF!="","",IF(CE468=0,CC468,0))</f>
        <v>#REF!</v>
      </c>
      <c r="CR468" s="17"/>
      <c r="DE468"/>
    </row>
    <row r="469" spans="81:109" x14ac:dyDescent="0.25">
      <c r="CC469" s="7" t="e">
        <f>IF(#REF!="","",IF(#REF!="PF",#REF!,0))</f>
        <v>#REF!</v>
      </c>
      <c r="CD469" s="7" t="e">
        <f>IF(#REF!="","",IF(#REF!="PF",IF((#REF!+4)&lt;YEAR(#REF!),0,#REF!),0))</f>
        <v>#REF!</v>
      </c>
      <c r="CE469" s="7" t="e">
        <f>IF(#REF!="","",IF(AND(CD469&gt;0,#REF!&lt;&gt;""),CC469,0))</f>
        <v>#REF!</v>
      </c>
      <c r="CF469" s="7" t="e">
        <f>IF(#REF!="","",IF(AND($CE469&gt;0,#REF!= "GRENACHE N"),#REF!,0))</f>
        <v>#REF!</v>
      </c>
      <c r="CG469" s="7" t="e">
        <f>IF(#REF!="","",IF(AND($CE469&gt;0,#REF!="SYRAH N"),#REF!,0))</f>
        <v>#REF!</v>
      </c>
      <c r="CH469" s="7" t="e">
        <f>IF(#REF!="","",IF(AND($CE469&gt;0,#REF!="CINSAUT N"),#REF!,0))</f>
        <v>#REF!</v>
      </c>
      <c r="CI469" s="7" t="e">
        <f>IF(#REF!="","",IF(AND($CE469&gt;0,#REF!="TIBOUREN N"),#REF!,0))</f>
        <v>#REF!</v>
      </c>
      <c r="CJ469" s="7" t="e">
        <f>IF(#REF!="","",IF(AND($CE469&gt;0,#REF!="MOURVEDRE N"),#REF!,0))</f>
        <v>#REF!</v>
      </c>
      <c r="CK469" s="7" t="e">
        <f>IF(#REF!="","",IF(AND($CE469&gt;0,#REF!="CARIGNAN N"),#REF!,0))</f>
        <v>#REF!</v>
      </c>
      <c r="CL469" s="7" t="e">
        <f>IF(#REF!="","",IF(AND($CE469&gt;0,#REF!="CABERNET SAUVIGNON N"),#REF!,0))</f>
        <v>#REF!</v>
      </c>
      <c r="CM469" s="7" t="e">
        <f>IF(#REF!="","",IF(AND($CE469&gt;0,#REF!="VERMENTINO B"),#REF!,0))</f>
        <v>#REF!</v>
      </c>
      <c r="CN469" s="7" t="e">
        <f>IF(#REF!="","",IF(AND($CE469&gt;0,#REF!="UGNI BLANC B"),#REF!,0))</f>
        <v>#REF!</v>
      </c>
      <c r="CO469" s="7" t="e">
        <f>IF(#REF!="","",IF(AND($CE469&gt;0,#REF!="CLAIRETTE B"),#REF!,0))</f>
        <v>#REF!</v>
      </c>
      <c r="CP469" s="7" t="e">
        <f>IF(#REF!="","",IF(AND($CE469&gt;0,#REF!="semillon B"),#REF!,0))</f>
        <v>#REF!</v>
      </c>
      <c r="CQ469" s="7" t="e">
        <f>IF(#REF!="","",IF(CE469=0,CC469,0))</f>
        <v>#REF!</v>
      </c>
      <c r="CR469" s="17"/>
      <c r="DE469"/>
    </row>
    <row r="470" spans="81:109" x14ac:dyDescent="0.25">
      <c r="CC470" s="7" t="e">
        <f>IF(#REF!="","",IF(#REF!="PF",#REF!,0))</f>
        <v>#REF!</v>
      </c>
      <c r="CD470" s="7" t="e">
        <f>IF(#REF!="","",IF(#REF!="PF",IF((#REF!+4)&lt;YEAR(#REF!),0,#REF!),0))</f>
        <v>#REF!</v>
      </c>
      <c r="CE470" s="7" t="e">
        <f>IF(#REF!="","",IF(AND(CD470&gt;0,#REF!&lt;&gt;""),CC470,0))</f>
        <v>#REF!</v>
      </c>
      <c r="CF470" s="7" t="e">
        <f>IF(#REF!="","",IF(AND($CE470&gt;0,#REF!= "GRENACHE N"),#REF!,0))</f>
        <v>#REF!</v>
      </c>
      <c r="CG470" s="7" t="e">
        <f>IF(#REF!="","",IF(AND($CE470&gt;0,#REF!="SYRAH N"),#REF!,0))</f>
        <v>#REF!</v>
      </c>
      <c r="CH470" s="7" t="e">
        <f>IF(#REF!="","",IF(AND($CE470&gt;0,#REF!="CINSAUT N"),#REF!,0))</f>
        <v>#REF!</v>
      </c>
      <c r="CI470" s="7" t="e">
        <f>IF(#REF!="","",IF(AND($CE470&gt;0,#REF!="TIBOUREN N"),#REF!,0))</f>
        <v>#REF!</v>
      </c>
      <c r="CJ470" s="7" t="e">
        <f>IF(#REF!="","",IF(AND($CE470&gt;0,#REF!="MOURVEDRE N"),#REF!,0))</f>
        <v>#REF!</v>
      </c>
      <c r="CK470" s="7" t="e">
        <f>IF(#REF!="","",IF(AND($CE470&gt;0,#REF!="CARIGNAN N"),#REF!,0))</f>
        <v>#REF!</v>
      </c>
      <c r="CL470" s="7" t="e">
        <f>IF(#REF!="","",IF(AND($CE470&gt;0,#REF!="CABERNET SAUVIGNON N"),#REF!,0))</f>
        <v>#REF!</v>
      </c>
      <c r="CM470" s="7" t="e">
        <f>IF(#REF!="","",IF(AND($CE470&gt;0,#REF!="VERMENTINO B"),#REF!,0))</f>
        <v>#REF!</v>
      </c>
      <c r="CN470" s="7" t="e">
        <f>IF(#REF!="","",IF(AND($CE470&gt;0,#REF!="UGNI BLANC B"),#REF!,0))</f>
        <v>#REF!</v>
      </c>
      <c r="CO470" s="7" t="e">
        <f>IF(#REF!="","",IF(AND($CE470&gt;0,#REF!="CLAIRETTE B"),#REF!,0))</f>
        <v>#REF!</v>
      </c>
      <c r="CP470" s="7" t="e">
        <f>IF(#REF!="","",IF(AND($CE470&gt;0,#REF!="semillon B"),#REF!,0))</f>
        <v>#REF!</v>
      </c>
      <c r="CQ470" s="7" t="e">
        <f>IF(#REF!="","",IF(CE470=0,CC470,0))</f>
        <v>#REF!</v>
      </c>
      <c r="CR470" s="17"/>
      <c r="DE470"/>
    </row>
    <row r="471" spans="81:109" x14ac:dyDescent="0.25">
      <c r="CC471" s="7" t="e">
        <f>IF(#REF!="","",IF(#REF!="PF",#REF!,0))</f>
        <v>#REF!</v>
      </c>
      <c r="CD471" s="7" t="e">
        <f>IF(#REF!="","",IF(#REF!="PF",IF((#REF!+4)&lt;YEAR(#REF!),0,#REF!),0))</f>
        <v>#REF!</v>
      </c>
      <c r="CE471" s="7" t="e">
        <f>IF(#REF!="","",IF(AND(CD471&gt;0,#REF!&lt;&gt;""),CC471,0))</f>
        <v>#REF!</v>
      </c>
      <c r="CF471" s="7" t="e">
        <f>IF(#REF!="","",IF(AND($CE471&gt;0,#REF!= "GRENACHE N"),#REF!,0))</f>
        <v>#REF!</v>
      </c>
      <c r="CG471" s="7" t="e">
        <f>IF(#REF!="","",IF(AND($CE471&gt;0,#REF!="SYRAH N"),#REF!,0))</f>
        <v>#REF!</v>
      </c>
      <c r="CH471" s="7" t="e">
        <f>IF(#REF!="","",IF(AND($CE471&gt;0,#REF!="CINSAUT N"),#REF!,0))</f>
        <v>#REF!</v>
      </c>
      <c r="CI471" s="7" t="e">
        <f>IF(#REF!="","",IF(AND($CE471&gt;0,#REF!="TIBOUREN N"),#REF!,0))</f>
        <v>#REF!</v>
      </c>
      <c r="CJ471" s="7" t="e">
        <f>IF(#REF!="","",IF(AND($CE471&gt;0,#REF!="MOURVEDRE N"),#REF!,0))</f>
        <v>#REF!</v>
      </c>
      <c r="CK471" s="7" t="e">
        <f>IF(#REF!="","",IF(AND($CE471&gt;0,#REF!="CARIGNAN N"),#REF!,0))</f>
        <v>#REF!</v>
      </c>
      <c r="CL471" s="7" t="e">
        <f>IF(#REF!="","",IF(AND($CE471&gt;0,#REF!="CABERNET SAUVIGNON N"),#REF!,0))</f>
        <v>#REF!</v>
      </c>
      <c r="CM471" s="7" t="e">
        <f>IF(#REF!="","",IF(AND($CE471&gt;0,#REF!="VERMENTINO B"),#REF!,0))</f>
        <v>#REF!</v>
      </c>
      <c r="CN471" s="7" t="e">
        <f>IF(#REF!="","",IF(AND($CE471&gt;0,#REF!="UGNI BLANC B"),#REF!,0))</f>
        <v>#REF!</v>
      </c>
      <c r="CO471" s="7" t="e">
        <f>IF(#REF!="","",IF(AND($CE471&gt;0,#REF!="CLAIRETTE B"),#REF!,0))</f>
        <v>#REF!</v>
      </c>
      <c r="CP471" s="7" t="e">
        <f>IF(#REF!="","",IF(AND($CE471&gt;0,#REF!="semillon B"),#REF!,0))</f>
        <v>#REF!</v>
      </c>
      <c r="CQ471" s="7" t="e">
        <f>IF(#REF!="","",IF(CE471=0,CC471,0))</f>
        <v>#REF!</v>
      </c>
      <c r="CR471" s="17"/>
      <c r="DE471"/>
    </row>
    <row r="472" spans="81:109" x14ac:dyDescent="0.25">
      <c r="CC472" s="7" t="e">
        <f>IF(#REF!="","",IF(#REF!="PF",#REF!,0))</f>
        <v>#REF!</v>
      </c>
      <c r="CD472" s="7" t="e">
        <f>IF(#REF!="","",IF(#REF!="PF",IF((#REF!+4)&lt;YEAR(#REF!),0,#REF!),0))</f>
        <v>#REF!</v>
      </c>
      <c r="CE472" s="7" t="e">
        <f>IF(#REF!="","",IF(AND(CD472&gt;0,#REF!&lt;&gt;""),CC472,0))</f>
        <v>#REF!</v>
      </c>
      <c r="CF472" s="7" t="e">
        <f>IF(#REF!="","",IF(AND($CE472&gt;0,#REF!= "GRENACHE N"),#REF!,0))</f>
        <v>#REF!</v>
      </c>
      <c r="CG472" s="7" t="e">
        <f>IF(#REF!="","",IF(AND($CE472&gt;0,#REF!="SYRAH N"),#REF!,0))</f>
        <v>#REF!</v>
      </c>
      <c r="CH472" s="7" t="e">
        <f>IF(#REF!="","",IF(AND($CE472&gt;0,#REF!="CINSAUT N"),#REF!,0))</f>
        <v>#REF!</v>
      </c>
      <c r="CI472" s="7" t="e">
        <f>IF(#REF!="","",IF(AND($CE472&gt;0,#REF!="TIBOUREN N"),#REF!,0))</f>
        <v>#REF!</v>
      </c>
      <c r="CJ472" s="7" t="e">
        <f>IF(#REF!="","",IF(AND($CE472&gt;0,#REF!="MOURVEDRE N"),#REF!,0))</f>
        <v>#REF!</v>
      </c>
      <c r="CK472" s="7" t="e">
        <f>IF(#REF!="","",IF(AND($CE472&gt;0,#REF!="CARIGNAN N"),#REF!,0))</f>
        <v>#REF!</v>
      </c>
      <c r="CL472" s="7" t="e">
        <f>IF(#REF!="","",IF(AND($CE472&gt;0,#REF!="CABERNET SAUVIGNON N"),#REF!,0))</f>
        <v>#REF!</v>
      </c>
      <c r="CM472" s="7" t="e">
        <f>IF(#REF!="","",IF(AND($CE472&gt;0,#REF!="VERMENTINO B"),#REF!,0))</f>
        <v>#REF!</v>
      </c>
      <c r="CN472" s="7" t="e">
        <f>IF(#REF!="","",IF(AND($CE472&gt;0,#REF!="UGNI BLANC B"),#REF!,0))</f>
        <v>#REF!</v>
      </c>
      <c r="CO472" s="7" t="e">
        <f>IF(#REF!="","",IF(AND($CE472&gt;0,#REF!="CLAIRETTE B"),#REF!,0))</f>
        <v>#REF!</v>
      </c>
      <c r="CP472" s="7" t="e">
        <f>IF(#REF!="","",IF(AND($CE472&gt;0,#REF!="semillon B"),#REF!,0))</f>
        <v>#REF!</v>
      </c>
      <c r="CQ472" s="7" t="e">
        <f>IF(#REF!="","",IF(CE472=0,CC472,0))</f>
        <v>#REF!</v>
      </c>
      <c r="CR472" s="17"/>
      <c r="DE472"/>
    </row>
    <row r="473" spans="81:109" x14ac:dyDescent="0.25">
      <c r="CC473" s="7" t="e">
        <f>IF(#REF!="","",IF(#REF!="PF",#REF!,0))</f>
        <v>#REF!</v>
      </c>
      <c r="CD473" s="7" t="e">
        <f>IF(#REF!="","",IF(#REF!="PF",IF((#REF!+4)&lt;YEAR(#REF!),0,#REF!),0))</f>
        <v>#REF!</v>
      </c>
      <c r="CE473" s="7" t="e">
        <f>IF(#REF!="","",IF(AND(CD473&gt;0,#REF!&lt;&gt;""),CC473,0))</f>
        <v>#REF!</v>
      </c>
      <c r="CF473" s="7" t="e">
        <f>IF(#REF!="","",IF(AND($CE473&gt;0,#REF!= "GRENACHE N"),#REF!,0))</f>
        <v>#REF!</v>
      </c>
      <c r="CG473" s="7" t="e">
        <f>IF(#REF!="","",IF(AND($CE473&gt;0,#REF!="SYRAH N"),#REF!,0))</f>
        <v>#REF!</v>
      </c>
      <c r="CH473" s="7" t="e">
        <f>IF(#REF!="","",IF(AND($CE473&gt;0,#REF!="CINSAUT N"),#REF!,0))</f>
        <v>#REF!</v>
      </c>
      <c r="CI473" s="7" t="e">
        <f>IF(#REF!="","",IF(AND($CE473&gt;0,#REF!="TIBOUREN N"),#REF!,0))</f>
        <v>#REF!</v>
      </c>
      <c r="CJ473" s="7" t="e">
        <f>IF(#REF!="","",IF(AND($CE473&gt;0,#REF!="MOURVEDRE N"),#REF!,0))</f>
        <v>#REF!</v>
      </c>
      <c r="CK473" s="7" t="e">
        <f>IF(#REF!="","",IF(AND($CE473&gt;0,#REF!="CARIGNAN N"),#REF!,0))</f>
        <v>#REF!</v>
      </c>
      <c r="CL473" s="7" t="e">
        <f>IF(#REF!="","",IF(AND($CE473&gt;0,#REF!="CABERNET SAUVIGNON N"),#REF!,0))</f>
        <v>#REF!</v>
      </c>
      <c r="CM473" s="7" t="e">
        <f>IF(#REF!="","",IF(AND($CE473&gt;0,#REF!="VERMENTINO B"),#REF!,0))</f>
        <v>#REF!</v>
      </c>
      <c r="CN473" s="7" t="e">
        <f>IF(#REF!="","",IF(AND($CE473&gt;0,#REF!="UGNI BLANC B"),#REF!,0))</f>
        <v>#REF!</v>
      </c>
      <c r="CO473" s="7" t="e">
        <f>IF(#REF!="","",IF(AND($CE473&gt;0,#REF!="CLAIRETTE B"),#REF!,0))</f>
        <v>#REF!</v>
      </c>
      <c r="CP473" s="7" t="e">
        <f>IF(#REF!="","",IF(AND($CE473&gt;0,#REF!="semillon B"),#REF!,0))</f>
        <v>#REF!</v>
      </c>
      <c r="CQ473" s="7" t="e">
        <f>IF(#REF!="","",IF(CE473=0,CC473,0))</f>
        <v>#REF!</v>
      </c>
      <c r="CR473" s="17"/>
      <c r="DE473"/>
    </row>
    <row r="474" spans="81:109" x14ac:dyDescent="0.25">
      <c r="CC474" s="7" t="e">
        <f>IF(#REF!="","",IF(#REF!="PF",#REF!,0))</f>
        <v>#REF!</v>
      </c>
      <c r="CD474" s="7" t="e">
        <f>IF(#REF!="","",IF(#REF!="PF",IF((#REF!+4)&lt;YEAR(#REF!),0,#REF!),0))</f>
        <v>#REF!</v>
      </c>
      <c r="CE474" s="7" t="e">
        <f>IF(#REF!="","",IF(AND(CD474&gt;0,#REF!&lt;&gt;""),CC474,0))</f>
        <v>#REF!</v>
      </c>
      <c r="CF474" s="7" t="e">
        <f>IF(#REF!="","",IF(AND($CE474&gt;0,#REF!= "GRENACHE N"),#REF!,0))</f>
        <v>#REF!</v>
      </c>
      <c r="CG474" s="7" t="e">
        <f>IF(#REF!="","",IF(AND($CE474&gt;0,#REF!="SYRAH N"),#REF!,0))</f>
        <v>#REF!</v>
      </c>
      <c r="CH474" s="7" t="e">
        <f>IF(#REF!="","",IF(AND($CE474&gt;0,#REF!="CINSAUT N"),#REF!,0))</f>
        <v>#REF!</v>
      </c>
      <c r="CI474" s="7" t="e">
        <f>IF(#REF!="","",IF(AND($CE474&gt;0,#REF!="TIBOUREN N"),#REF!,0))</f>
        <v>#REF!</v>
      </c>
      <c r="CJ474" s="7" t="e">
        <f>IF(#REF!="","",IF(AND($CE474&gt;0,#REF!="MOURVEDRE N"),#REF!,0))</f>
        <v>#REF!</v>
      </c>
      <c r="CK474" s="7" t="e">
        <f>IF(#REF!="","",IF(AND($CE474&gt;0,#REF!="CARIGNAN N"),#REF!,0))</f>
        <v>#REF!</v>
      </c>
      <c r="CL474" s="7" t="e">
        <f>IF(#REF!="","",IF(AND($CE474&gt;0,#REF!="CABERNET SAUVIGNON N"),#REF!,0))</f>
        <v>#REF!</v>
      </c>
      <c r="CM474" s="7" t="e">
        <f>IF(#REF!="","",IF(AND($CE474&gt;0,#REF!="VERMENTINO B"),#REF!,0))</f>
        <v>#REF!</v>
      </c>
      <c r="CN474" s="7" t="e">
        <f>IF(#REF!="","",IF(AND($CE474&gt;0,#REF!="UGNI BLANC B"),#REF!,0))</f>
        <v>#REF!</v>
      </c>
      <c r="CO474" s="7" t="e">
        <f>IF(#REF!="","",IF(AND($CE474&gt;0,#REF!="CLAIRETTE B"),#REF!,0))</f>
        <v>#REF!</v>
      </c>
      <c r="CP474" s="7" t="e">
        <f>IF(#REF!="","",IF(AND($CE474&gt;0,#REF!="semillon B"),#REF!,0))</f>
        <v>#REF!</v>
      </c>
      <c r="CQ474" s="7" t="e">
        <f>IF(#REF!="","",IF(CE474=0,CC474,0))</f>
        <v>#REF!</v>
      </c>
      <c r="CR474" s="17"/>
      <c r="DE474"/>
    </row>
    <row r="475" spans="81:109" x14ac:dyDescent="0.25">
      <c r="CC475" s="7" t="e">
        <f>IF(#REF!="","",IF(#REF!="PF",#REF!,0))</f>
        <v>#REF!</v>
      </c>
      <c r="CD475" s="7" t="e">
        <f>IF(#REF!="","",IF(#REF!="PF",IF((#REF!+4)&lt;YEAR(#REF!),0,#REF!),0))</f>
        <v>#REF!</v>
      </c>
      <c r="CE475" s="7" t="e">
        <f>IF(#REF!="","",IF(AND(CD475&gt;0,#REF!&lt;&gt;""),CC475,0))</f>
        <v>#REF!</v>
      </c>
      <c r="CF475" s="7" t="e">
        <f>IF(#REF!="","",IF(AND($CE475&gt;0,#REF!= "GRENACHE N"),#REF!,0))</f>
        <v>#REF!</v>
      </c>
      <c r="CG475" s="7" t="e">
        <f>IF(#REF!="","",IF(AND($CE475&gt;0,#REF!="SYRAH N"),#REF!,0))</f>
        <v>#REF!</v>
      </c>
      <c r="CH475" s="7" t="e">
        <f>IF(#REF!="","",IF(AND($CE475&gt;0,#REF!="CINSAUT N"),#REF!,0))</f>
        <v>#REF!</v>
      </c>
      <c r="CI475" s="7" t="e">
        <f>IF(#REF!="","",IF(AND($CE475&gt;0,#REF!="TIBOUREN N"),#REF!,0))</f>
        <v>#REF!</v>
      </c>
      <c r="CJ475" s="7" t="e">
        <f>IF(#REF!="","",IF(AND($CE475&gt;0,#REF!="MOURVEDRE N"),#REF!,0))</f>
        <v>#REF!</v>
      </c>
      <c r="CK475" s="7" t="e">
        <f>IF(#REF!="","",IF(AND($CE475&gt;0,#REF!="CARIGNAN N"),#REF!,0))</f>
        <v>#REF!</v>
      </c>
      <c r="CL475" s="7" t="e">
        <f>IF(#REF!="","",IF(AND($CE475&gt;0,#REF!="CABERNET SAUVIGNON N"),#REF!,0))</f>
        <v>#REF!</v>
      </c>
      <c r="CM475" s="7" t="e">
        <f>IF(#REF!="","",IF(AND($CE475&gt;0,#REF!="VERMENTINO B"),#REF!,0))</f>
        <v>#REF!</v>
      </c>
      <c r="CN475" s="7" t="e">
        <f>IF(#REF!="","",IF(AND($CE475&gt;0,#REF!="UGNI BLANC B"),#REF!,0))</f>
        <v>#REF!</v>
      </c>
      <c r="CO475" s="7" t="e">
        <f>IF(#REF!="","",IF(AND($CE475&gt;0,#REF!="CLAIRETTE B"),#REF!,0))</f>
        <v>#REF!</v>
      </c>
      <c r="CP475" s="7" t="e">
        <f>IF(#REF!="","",IF(AND($CE475&gt;0,#REF!="semillon B"),#REF!,0))</f>
        <v>#REF!</v>
      </c>
      <c r="CQ475" s="7" t="e">
        <f>IF(#REF!="","",IF(CE475=0,CC475,0))</f>
        <v>#REF!</v>
      </c>
      <c r="CR475" s="17"/>
      <c r="DE475"/>
    </row>
    <row r="476" spans="81:109" x14ac:dyDescent="0.25">
      <c r="CC476" s="7" t="e">
        <f>IF(#REF!="","",IF(#REF!="PF",#REF!,0))</f>
        <v>#REF!</v>
      </c>
      <c r="CD476" s="7" t="e">
        <f>IF(#REF!="","",IF(#REF!="PF",IF((#REF!+4)&lt;YEAR(#REF!),0,#REF!),0))</f>
        <v>#REF!</v>
      </c>
      <c r="CE476" s="7" t="e">
        <f>IF(#REF!="","",IF(AND(CD476&gt;0,#REF!&lt;&gt;""),CC476,0))</f>
        <v>#REF!</v>
      </c>
      <c r="CF476" s="7" t="e">
        <f>IF(#REF!="","",IF(AND($CE476&gt;0,#REF!= "GRENACHE N"),#REF!,0))</f>
        <v>#REF!</v>
      </c>
      <c r="CG476" s="7" t="e">
        <f>IF(#REF!="","",IF(AND($CE476&gt;0,#REF!="SYRAH N"),#REF!,0))</f>
        <v>#REF!</v>
      </c>
      <c r="CH476" s="7" t="e">
        <f>IF(#REF!="","",IF(AND($CE476&gt;0,#REF!="CINSAUT N"),#REF!,0))</f>
        <v>#REF!</v>
      </c>
      <c r="CI476" s="7" t="e">
        <f>IF(#REF!="","",IF(AND($CE476&gt;0,#REF!="TIBOUREN N"),#REF!,0))</f>
        <v>#REF!</v>
      </c>
      <c r="CJ476" s="7" t="e">
        <f>IF(#REF!="","",IF(AND($CE476&gt;0,#REF!="MOURVEDRE N"),#REF!,0))</f>
        <v>#REF!</v>
      </c>
      <c r="CK476" s="7" t="e">
        <f>IF(#REF!="","",IF(AND($CE476&gt;0,#REF!="CARIGNAN N"),#REF!,0))</f>
        <v>#REF!</v>
      </c>
      <c r="CL476" s="7" t="e">
        <f>IF(#REF!="","",IF(AND($CE476&gt;0,#REF!="CABERNET SAUVIGNON N"),#REF!,0))</f>
        <v>#REF!</v>
      </c>
      <c r="CM476" s="7" t="e">
        <f>IF(#REF!="","",IF(AND($CE476&gt;0,#REF!="VERMENTINO B"),#REF!,0))</f>
        <v>#REF!</v>
      </c>
      <c r="CN476" s="7" t="e">
        <f>IF(#REF!="","",IF(AND($CE476&gt;0,#REF!="UGNI BLANC B"),#REF!,0))</f>
        <v>#REF!</v>
      </c>
      <c r="CO476" s="7" t="e">
        <f>IF(#REF!="","",IF(AND($CE476&gt;0,#REF!="CLAIRETTE B"),#REF!,0))</f>
        <v>#REF!</v>
      </c>
      <c r="CP476" s="7" t="e">
        <f>IF(#REF!="","",IF(AND($CE476&gt;0,#REF!="semillon B"),#REF!,0))</f>
        <v>#REF!</v>
      </c>
      <c r="CQ476" s="7" t="e">
        <f>IF(#REF!="","",IF(CE476=0,CC476,0))</f>
        <v>#REF!</v>
      </c>
      <c r="CR476" s="17"/>
      <c r="DE476"/>
    </row>
    <row r="477" spans="81:109" x14ac:dyDescent="0.25">
      <c r="CC477" s="7" t="e">
        <f>IF(#REF!="","",IF(#REF!="PF",#REF!,0))</f>
        <v>#REF!</v>
      </c>
      <c r="CD477" s="7" t="e">
        <f>IF(#REF!="","",IF(#REF!="PF",IF((#REF!+4)&lt;YEAR(#REF!),0,#REF!),0))</f>
        <v>#REF!</v>
      </c>
      <c r="CE477" s="7" t="e">
        <f>IF(#REF!="","",IF(AND(CD477&gt;0,#REF!&lt;&gt;""),CC477,0))</f>
        <v>#REF!</v>
      </c>
      <c r="CF477" s="7" t="e">
        <f>IF(#REF!="","",IF(AND($CE477&gt;0,#REF!= "GRENACHE N"),#REF!,0))</f>
        <v>#REF!</v>
      </c>
      <c r="CG477" s="7" t="e">
        <f>IF(#REF!="","",IF(AND($CE477&gt;0,#REF!="SYRAH N"),#REF!,0))</f>
        <v>#REF!</v>
      </c>
      <c r="CH477" s="7" t="e">
        <f>IF(#REF!="","",IF(AND($CE477&gt;0,#REF!="CINSAUT N"),#REF!,0))</f>
        <v>#REF!</v>
      </c>
      <c r="CI477" s="7" t="e">
        <f>IF(#REF!="","",IF(AND($CE477&gt;0,#REF!="TIBOUREN N"),#REF!,0))</f>
        <v>#REF!</v>
      </c>
      <c r="CJ477" s="7" t="e">
        <f>IF(#REF!="","",IF(AND($CE477&gt;0,#REF!="MOURVEDRE N"),#REF!,0))</f>
        <v>#REF!</v>
      </c>
      <c r="CK477" s="7" t="e">
        <f>IF(#REF!="","",IF(AND($CE477&gt;0,#REF!="CARIGNAN N"),#REF!,0))</f>
        <v>#REF!</v>
      </c>
      <c r="CL477" s="7" t="e">
        <f>IF(#REF!="","",IF(AND($CE477&gt;0,#REF!="CABERNET SAUVIGNON N"),#REF!,0))</f>
        <v>#REF!</v>
      </c>
      <c r="CM477" s="7" t="e">
        <f>IF(#REF!="","",IF(AND($CE477&gt;0,#REF!="VERMENTINO B"),#REF!,0))</f>
        <v>#REF!</v>
      </c>
      <c r="CN477" s="7" t="e">
        <f>IF(#REF!="","",IF(AND($CE477&gt;0,#REF!="UGNI BLANC B"),#REF!,0))</f>
        <v>#REF!</v>
      </c>
      <c r="CO477" s="7" t="e">
        <f>IF(#REF!="","",IF(AND($CE477&gt;0,#REF!="CLAIRETTE B"),#REF!,0))</f>
        <v>#REF!</v>
      </c>
      <c r="CP477" s="7" t="e">
        <f>IF(#REF!="","",IF(AND($CE477&gt;0,#REF!="semillon B"),#REF!,0))</f>
        <v>#REF!</v>
      </c>
      <c r="CQ477" s="7" t="e">
        <f>IF(#REF!="","",IF(CE477=0,CC477,0))</f>
        <v>#REF!</v>
      </c>
      <c r="CR477" s="17"/>
      <c r="DE477"/>
    </row>
    <row r="478" spans="81:109" x14ac:dyDescent="0.25">
      <c r="CC478" s="7" t="e">
        <f>IF(#REF!="","",IF(#REF!="PF",#REF!,0))</f>
        <v>#REF!</v>
      </c>
      <c r="CD478" s="7" t="e">
        <f>IF(#REF!="","",IF(#REF!="PF",IF((#REF!+4)&lt;YEAR(#REF!),0,#REF!),0))</f>
        <v>#REF!</v>
      </c>
      <c r="CE478" s="7" t="e">
        <f>IF(#REF!="","",IF(AND(CD478&gt;0,#REF!&lt;&gt;""),CC478,0))</f>
        <v>#REF!</v>
      </c>
      <c r="CF478" s="7" t="e">
        <f>IF(#REF!="","",IF(AND($CE478&gt;0,#REF!= "GRENACHE N"),#REF!,0))</f>
        <v>#REF!</v>
      </c>
      <c r="CG478" s="7" t="e">
        <f>IF(#REF!="","",IF(AND($CE478&gt;0,#REF!="SYRAH N"),#REF!,0))</f>
        <v>#REF!</v>
      </c>
      <c r="CH478" s="7" t="e">
        <f>IF(#REF!="","",IF(AND($CE478&gt;0,#REF!="CINSAUT N"),#REF!,0))</f>
        <v>#REF!</v>
      </c>
      <c r="CI478" s="7" t="e">
        <f>IF(#REF!="","",IF(AND($CE478&gt;0,#REF!="TIBOUREN N"),#REF!,0))</f>
        <v>#REF!</v>
      </c>
      <c r="CJ478" s="7" t="e">
        <f>IF(#REF!="","",IF(AND($CE478&gt;0,#REF!="MOURVEDRE N"),#REF!,0))</f>
        <v>#REF!</v>
      </c>
      <c r="CK478" s="7" t="e">
        <f>IF(#REF!="","",IF(AND($CE478&gt;0,#REF!="CARIGNAN N"),#REF!,0))</f>
        <v>#REF!</v>
      </c>
      <c r="CL478" s="7" t="e">
        <f>IF(#REF!="","",IF(AND($CE478&gt;0,#REF!="CABERNET SAUVIGNON N"),#REF!,0))</f>
        <v>#REF!</v>
      </c>
      <c r="CM478" s="7" t="e">
        <f>IF(#REF!="","",IF(AND($CE478&gt;0,#REF!="VERMENTINO B"),#REF!,0))</f>
        <v>#REF!</v>
      </c>
      <c r="CN478" s="7" t="e">
        <f>IF(#REF!="","",IF(AND($CE478&gt;0,#REF!="UGNI BLANC B"),#REF!,0))</f>
        <v>#REF!</v>
      </c>
      <c r="CO478" s="7" t="e">
        <f>IF(#REF!="","",IF(AND($CE478&gt;0,#REF!="CLAIRETTE B"),#REF!,0))</f>
        <v>#REF!</v>
      </c>
      <c r="CP478" s="7" t="e">
        <f>IF(#REF!="","",IF(AND($CE478&gt;0,#REF!="semillon B"),#REF!,0))</f>
        <v>#REF!</v>
      </c>
      <c r="CQ478" s="7" t="e">
        <f>IF(#REF!="","",IF(CE478=0,CC478,0))</f>
        <v>#REF!</v>
      </c>
      <c r="CR478" s="17"/>
      <c r="DE478"/>
    </row>
    <row r="479" spans="81:109" x14ac:dyDescent="0.25">
      <c r="CC479" s="7" t="e">
        <f>IF(#REF!="","",IF(#REF!="PF",#REF!,0))</f>
        <v>#REF!</v>
      </c>
      <c r="CD479" s="7" t="e">
        <f>IF(#REF!="","",IF(#REF!="PF",IF((#REF!+4)&lt;YEAR(#REF!),0,#REF!),0))</f>
        <v>#REF!</v>
      </c>
      <c r="CE479" s="7" t="e">
        <f>IF(#REF!="","",IF(AND(CD479&gt;0,#REF!&lt;&gt;""),CC479,0))</f>
        <v>#REF!</v>
      </c>
      <c r="CF479" s="7" t="e">
        <f>IF(#REF!="","",IF(AND($CE479&gt;0,#REF!= "GRENACHE N"),#REF!,0))</f>
        <v>#REF!</v>
      </c>
      <c r="CG479" s="7" t="e">
        <f>IF(#REF!="","",IF(AND($CE479&gt;0,#REF!="SYRAH N"),#REF!,0))</f>
        <v>#REF!</v>
      </c>
      <c r="CH479" s="7" t="e">
        <f>IF(#REF!="","",IF(AND($CE479&gt;0,#REF!="CINSAUT N"),#REF!,0))</f>
        <v>#REF!</v>
      </c>
      <c r="CI479" s="7" t="e">
        <f>IF(#REF!="","",IF(AND($CE479&gt;0,#REF!="TIBOUREN N"),#REF!,0))</f>
        <v>#REF!</v>
      </c>
      <c r="CJ479" s="7" t="e">
        <f>IF(#REF!="","",IF(AND($CE479&gt;0,#REF!="MOURVEDRE N"),#REF!,0))</f>
        <v>#REF!</v>
      </c>
      <c r="CK479" s="7" t="e">
        <f>IF(#REF!="","",IF(AND($CE479&gt;0,#REF!="CARIGNAN N"),#REF!,0))</f>
        <v>#REF!</v>
      </c>
      <c r="CL479" s="7" t="e">
        <f>IF(#REF!="","",IF(AND($CE479&gt;0,#REF!="CABERNET SAUVIGNON N"),#REF!,0))</f>
        <v>#REF!</v>
      </c>
      <c r="CM479" s="7" t="e">
        <f>IF(#REF!="","",IF(AND($CE479&gt;0,#REF!="VERMENTINO B"),#REF!,0))</f>
        <v>#REF!</v>
      </c>
      <c r="CN479" s="7" t="e">
        <f>IF(#REF!="","",IF(AND($CE479&gt;0,#REF!="UGNI BLANC B"),#REF!,0))</f>
        <v>#REF!</v>
      </c>
      <c r="CO479" s="7" t="e">
        <f>IF(#REF!="","",IF(AND($CE479&gt;0,#REF!="CLAIRETTE B"),#REF!,0))</f>
        <v>#REF!</v>
      </c>
      <c r="CP479" s="7" t="e">
        <f>IF(#REF!="","",IF(AND($CE479&gt;0,#REF!="semillon B"),#REF!,0))</f>
        <v>#REF!</v>
      </c>
      <c r="CQ479" s="7" t="e">
        <f>IF(#REF!="","",IF(CE479=0,CC479,0))</f>
        <v>#REF!</v>
      </c>
      <c r="CR479" s="17"/>
      <c r="DE479"/>
    </row>
    <row r="480" spans="81:109" x14ac:dyDescent="0.25">
      <c r="CC480" s="7" t="e">
        <f>IF(#REF!="","",IF(#REF!="PF",#REF!,0))</f>
        <v>#REF!</v>
      </c>
      <c r="CD480" s="7" t="e">
        <f>IF(#REF!="","",IF(#REF!="PF",IF((#REF!+4)&lt;YEAR(#REF!),0,#REF!),0))</f>
        <v>#REF!</v>
      </c>
      <c r="CE480" s="7" t="e">
        <f>IF(#REF!="","",IF(AND(CD480&gt;0,#REF!&lt;&gt;""),CC480,0))</f>
        <v>#REF!</v>
      </c>
      <c r="CF480" s="7" t="e">
        <f>IF(#REF!="","",IF(AND($CE480&gt;0,#REF!= "GRENACHE N"),#REF!,0))</f>
        <v>#REF!</v>
      </c>
      <c r="CG480" s="7" t="e">
        <f>IF(#REF!="","",IF(AND($CE480&gt;0,#REF!="SYRAH N"),#REF!,0))</f>
        <v>#REF!</v>
      </c>
      <c r="CH480" s="7" t="e">
        <f>IF(#REF!="","",IF(AND($CE480&gt;0,#REF!="CINSAUT N"),#REF!,0))</f>
        <v>#REF!</v>
      </c>
      <c r="CI480" s="7" t="e">
        <f>IF(#REF!="","",IF(AND($CE480&gt;0,#REF!="TIBOUREN N"),#REF!,0))</f>
        <v>#REF!</v>
      </c>
      <c r="CJ480" s="7" t="e">
        <f>IF(#REF!="","",IF(AND($CE480&gt;0,#REF!="MOURVEDRE N"),#REF!,0))</f>
        <v>#REF!</v>
      </c>
      <c r="CK480" s="7" t="e">
        <f>IF(#REF!="","",IF(AND($CE480&gt;0,#REF!="CARIGNAN N"),#REF!,0))</f>
        <v>#REF!</v>
      </c>
      <c r="CL480" s="7" t="e">
        <f>IF(#REF!="","",IF(AND($CE480&gt;0,#REF!="CABERNET SAUVIGNON N"),#REF!,0))</f>
        <v>#REF!</v>
      </c>
      <c r="CM480" s="7" t="e">
        <f>IF(#REF!="","",IF(AND($CE480&gt;0,#REF!="VERMENTINO B"),#REF!,0))</f>
        <v>#REF!</v>
      </c>
      <c r="CN480" s="7" t="e">
        <f>IF(#REF!="","",IF(AND($CE480&gt;0,#REF!="UGNI BLANC B"),#REF!,0))</f>
        <v>#REF!</v>
      </c>
      <c r="CO480" s="7" t="e">
        <f>IF(#REF!="","",IF(AND($CE480&gt;0,#REF!="CLAIRETTE B"),#REF!,0))</f>
        <v>#REF!</v>
      </c>
      <c r="CP480" s="7" t="e">
        <f>IF(#REF!="","",IF(AND($CE480&gt;0,#REF!="semillon B"),#REF!,0))</f>
        <v>#REF!</v>
      </c>
      <c r="CQ480" s="7" t="e">
        <f>IF(#REF!="","",IF(CE480=0,CC480,0))</f>
        <v>#REF!</v>
      </c>
      <c r="CR480" s="17"/>
      <c r="DE480"/>
    </row>
    <row r="481" spans="81:109" x14ac:dyDescent="0.25">
      <c r="CC481" s="7" t="e">
        <f>IF(#REF!="","",IF(#REF!="PF",#REF!,0))</f>
        <v>#REF!</v>
      </c>
      <c r="CD481" s="7" t="e">
        <f>IF(#REF!="","",IF(#REF!="PF",IF((#REF!+4)&lt;YEAR(#REF!),0,#REF!),0))</f>
        <v>#REF!</v>
      </c>
      <c r="CE481" s="7" t="e">
        <f>IF(#REF!="","",IF(AND(CD481&gt;0,#REF!&lt;&gt;""),CC481,0))</f>
        <v>#REF!</v>
      </c>
      <c r="CF481" s="7" t="e">
        <f>IF(#REF!="","",IF(AND($CE481&gt;0,#REF!= "GRENACHE N"),#REF!,0))</f>
        <v>#REF!</v>
      </c>
      <c r="CG481" s="7" t="e">
        <f>IF(#REF!="","",IF(AND($CE481&gt;0,#REF!="SYRAH N"),#REF!,0))</f>
        <v>#REF!</v>
      </c>
      <c r="CH481" s="7" t="e">
        <f>IF(#REF!="","",IF(AND($CE481&gt;0,#REF!="CINSAUT N"),#REF!,0))</f>
        <v>#REF!</v>
      </c>
      <c r="CI481" s="7" t="e">
        <f>IF(#REF!="","",IF(AND($CE481&gt;0,#REF!="TIBOUREN N"),#REF!,0))</f>
        <v>#REF!</v>
      </c>
      <c r="CJ481" s="7" t="e">
        <f>IF(#REF!="","",IF(AND($CE481&gt;0,#REF!="MOURVEDRE N"),#REF!,0))</f>
        <v>#REF!</v>
      </c>
      <c r="CK481" s="7" t="e">
        <f>IF(#REF!="","",IF(AND($CE481&gt;0,#REF!="CARIGNAN N"),#REF!,0))</f>
        <v>#REF!</v>
      </c>
      <c r="CL481" s="7" t="e">
        <f>IF(#REF!="","",IF(AND($CE481&gt;0,#REF!="CABERNET SAUVIGNON N"),#REF!,0))</f>
        <v>#REF!</v>
      </c>
      <c r="CM481" s="7" t="e">
        <f>IF(#REF!="","",IF(AND($CE481&gt;0,#REF!="VERMENTINO B"),#REF!,0))</f>
        <v>#REF!</v>
      </c>
      <c r="CN481" s="7" t="e">
        <f>IF(#REF!="","",IF(AND($CE481&gt;0,#REF!="UGNI BLANC B"),#REF!,0))</f>
        <v>#REF!</v>
      </c>
      <c r="CO481" s="7" t="e">
        <f>IF(#REF!="","",IF(AND($CE481&gt;0,#REF!="CLAIRETTE B"),#REF!,0))</f>
        <v>#REF!</v>
      </c>
      <c r="CP481" s="7" t="e">
        <f>IF(#REF!="","",IF(AND($CE481&gt;0,#REF!="semillon B"),#REF!,0))</f>
        <v>#REF!</v>
      </c>
      <c r="CQ481" s="7" t="e">
        <f>IF(#REF!="","",IF(CE481=0,CC481,0))</f>
        <v>#REF!</v>
      </c>
      <c r="CR481" s="17"/>
      <c r="DE481"/>
    </row>
    <row r="482" spans="81:109" x14ac:dyDescent="0.25">
      <c r="CC482" s="7" t="e">
        <f>IF(#REF!="","",IF(#REF!="PF",#REF!,0))</f>
        <v>#REF!</v>
      </c>
      <c r="CD482" s="7" t="e">
        <f>IF(#REF!="","",IF(#REF!="PF",IF((#REF!+4)&lt;YEAR(#REF!),0,#REF!),0))</f>
        <v>#REF!</v>
      </c>
      <c r="CE482" s="7" t="e">
        <f>IF(#REF!="","",IF(AND(CD482&gt;0,#REF!&lt;&gt;""),CC482,0))</f>
        <v>#REF!</v>
      </c>
      <c r="CF482" s="7" t="e">
        <f>IF(#REF!="","",IF(AND($CE482&gt;0,#REF!= "GRENACHE N"),#REF!,0))</f>
        <v>#REF!</v>
      </c>
      <c r="CG482" s="7" t="e">
        <f>IF(#REF!="","",IF(AND($CE482&gt;0,#REF!="SYRAH N"),#REF!,0))</f>
        <v>#REF!</v>
      </c>
      <c r="CH482" s="7" t="e">
        <f>IF(#REF!="","",IF(AND($CE482&gt;0,#REF!="CINSAUT N"),#REF!,0))</f>
        <v>#REF!</v>
      </c>
      <c r="CI482" s="7" t="e">
        <f>IF(#REF!="","",IF(AND($CE482&gt;0,#REF!="TIBOUREN N"),#REF!,0))</f>
        <v>#REF!</v>
      </c>
      <c r="CJ482" s="7" t="e">
        <f>IF(#REF!="","",IF(AND($CE482&gt;0,#REF!="MOURVEDRE N"),#REF!,0))</f>
        <v>#REF!</v>
      </c>
      <c r="CK482" s="7" t="e">
        <f>IF(#REF!="","",IF(AND($CE482&gt;0,#REF!="CARIGNAN N"),#REF!,0))</f>
        <v>#REF!</v>
      </c>
      <c r="CL482" s="7" t="e">
        <f>IF(#REF!="","",IF(AND($CE482&gt;0,#REF!="CABERNET SAUVIGNON N"),#REF!,0))</f>
        <v>#REF!</v>
      </c>
      <c r="CM482" s="7" t="e">
        <f>IF(#REF!="","",IF(AND($CE482&gt;0,#REF!="VERMENTINO B"),#REF!,0))</f>
        <v>#REF!</v>
      </c>
      <c r="CN482" s="7" t="e">
        <f>IF(#REF!="","",IF(AND($CE482&gt;0,#REF!="UGNI BLANC B"),#REF!,0))</f>
        <v>#REF!</v>
      </c>
      <c r="CO482" s="7" t="e">
        <f>IF(#REF!="","",IF(AND($CE482&gt;0,#REF!="CLAIRETTE B"),#REF!,0))</f>
        <v>#REF!</v>
      </c>
      <c r="CP482" s="7" t="e">
        <f>IF(#REF!="","",IF(AND($CE482&gt;0,#REF!="semillon B"),#REF!,0))</f>
        <v>#REF!</v>
      </c>
      <c r="CQ482" s="7" t="e">
        <f>IF(#REF!="","",IF(CE482=0,CC482,0))</f>
        <v>#REF!</v>
      </c>
      <c r="CR482" s="17"/>
      <c r="DE482"/>
    </row>
    <row r="483" spans="81:109" x14ac:dyDescent="0.25">
      <c r="CC483" s="7" t="e">
        <f>IF(#REF!="","",IF(#REF!="PF",#REF!,0))</f>
        <v>#REF!</v>
      </c>
      <c r="CD483" s="7" t="e">
        <f>IF(#REF!="","",IF(#REF!="PF",IF((#REF!+4)&lt;YEAR(#REF!),0,#REF!),0))</f>
        <v>#REF!</v>
      </c>
      <c r="CE483" s="7" t="e">
        <f>IF(#REF!="","",IF(AND(CD483&gt;0,#REF!&lt;&gt;""),CC483,0))</f>
        <v>#REF!</v>
      </c>
      <c r="CF483" s="7" t="e">
        <f>IF(#REF!="","",IF(AND($CE483&gt;0,#REF!= "GRENACHE N"),#REF!,0))</f>
        <v>#REF!</v>
      </c>
      <c r="CG483" s="7" t="e">
        <f>IF(#REF!="","",IF(AND($CE483&gt;0,#REF!="SYRAH N"),#REF!,0))</f>
        <v>#REF!</v>
      </c>
      <c r="CH483" s="7" t="e">
        <f>IF(#REF!="","",IF(AND($CE483&gt;0,#REF!="CINSAUT N"),#REF!,0))</f>
        <v>#REF!</v>
      </c>
      <c r="CI483" s="7" t="e">
        <f>IF(#REF!="","",IF(AND($CE483&gt;0,#REF!="TIBOUREN N"),#REF!,0))</f>
        <v>#REF!</v>
      </c>
      <c r="CJ483" s="7" t="e">
        <f>IF(#REF!="","",IF(AND($CE483&gt;0,#REF!="MOURVEDRE N"),#REF!,0))</f>
        <v>#REF!</v>
      </c>
      <c r="CK483" s="7" t="e">
        <f>IF(#REF!="","",IF(AND($CE483&gt;0,#REF!="CARIGNAN N"),#REF!,0))</f>
        <v>#REF!</v>
      </c>
      <c r="CL483" s="7" t="e">
        <f>IF(#REF!="","",IF(AND($CE483&gt;0,#REF!="CABERNET SAUVIGNON N"),#REF!,0))</f>
        <v>#REF!</v>
      </c>
      <c r="CM483" s="7" t="e">
        <f>IF(#REF!="","",IF(AND($CE483&gt;0,#REF!="VERMENTINO B"),#REF!,0))</f>
        <v>#REF!</v>
      </c>
      <c r="CN483" s="7" t="e">
        <f>IF(#REF!="","",IF(AND($CE483&gt;0,#REF!="UGNI BLANC B"),#REF!,0))</f>
        <v>#REF!</v>
      </c>
      <c r="CO483" s="7" t="e">
        <f>IF(#REF!="","",IF(AND($CE483&gt;0,#REF!="CLAIRETTE B"),#REF!,0))</f>
        <v>#REF!</v>
      </c>
      <c r="CP483" s="7" t="e">
        <f>IF(#REF!="","",IF(AND($CE483&gt;0,#REF!="semillon B"),#REF!,0))</f>
        <v>#REF!</v>
      </c>
      <c r="CQ483" s="7" t="e">
        <f>IF(#REF!="","",IF(CE483=0,CC483,0))</f>
        <v>#REF!</v>
      </c>
      <c r="CR483" s="17"/>
      <c r="DE483"/>
    </row>
    <row r="484" spans="81:109" x14ac:dyDescent="0.25">
      <c r="CC484" s="7" t="e">
        <f>IF(#REF!="","",IF(#REF!="PF",#REF!,0))</f>
        <v>#REF!</v>
      </c>
      <c r="CD484" s="7" t="e">
        <f>IF(#REF!="","",IF(#REF!="PF",IF((#REF!+4)&lt;YEAR(#REF!),0,#REF!),0))</f>
        <v>#REF!</v>
      </c>
      <c r="CE484" s="7" t="e">
        <f>IF(#REF!="","",IF(AND(CD484&gt;0,#REF!&lt;&gt;""),CC484,0))</f>
        <v>#REF!</v>
      </c>
      <c r="CF484" s="7" t="e">
        <f>IF(#REF!="","",IF(AND($CE484&gt;0,#REF!= "GRENACHE N"),#REF!,0))</f>
        <v>#REF!</v>
      </c>
      <c r="CG484" s="7" t="e">
        <f>IF(#REF!="","",IF(AND($CE484&gt;0,#REF!="SYRAH N"),#REF!,0))</f>
        <v>#REF!</v>
      </c>
      <c r="CH484" s="7" t="e">
        <f>IF(#REF!="","",IF(AND($CE484&gt;0,#REF!="CINSAUT N"),#REF!,0))</f>
        <v>#REF!</v>
      </c>
      <c r="CI484" s="7" t="e">
        <f>IF(#REF!="","",IF(AND($CE484&gt;0,#REF!="TIBOUREN N"),#REF!,0))</f>
        <v>#REF!</v>
      </c>
      <c r="CJ484" s="7" t="e">
        <f>IF(#REF!="","",IF(AND($CE484&gt;0,#REF!="MOURVEDRE N"),#REF!,0))</f>
        <v>#REF!</v>
      </c>
      <c r="CK484" s="7" t="e">
        <f>IF(#REF!="","",IF(AND($CE484&gt;0,#REF!="CARIGNAN N"),#REF!,0))</f>
        <v>#REF!</v>
      </c>
      <c r="CL484" s="7" t="e">
        <f>IF(#REF!="","",IF(AND($CE484&gt;0,#REF!="CABERNET SAUVIGNON N"),#REF!,0))</f>
        <v>#REF!</v>
      </c>
      <c r="CM484" s="7" t="e">
        <f>IF(#REF!="","",IF(AND($CE484&gt;0,#REF!="VERMENTINO B"),#REF!,0))</f>
        <v>#REF!</v>
      </c>
      <c r="CN484" s="7" t="e">
        <f>IF(#REF!="","",IF(AND($CE484&gt;0,#REF!="UGNI BLANC B"),#REF!,0))</f>
        <v>#REF!</v>
      </c>
      <c r="CO484" s="7" t="e">
        <f>IF(#REF!="","",IF(AND($CE484&gt;0,#REF!="CLAIRETTE B"),#REF!,0))</f>
        <v>#REF!</v>
      </c>
      <c r="CP484" s="7" t="e">
        <f>IF(#REF!="","",IF(AND($CE484&gt;0,#REF!="semillon B"),#REF!,0))</f>
        <v>#REF!</v>
      </c>
      <c r="CQ484" s="7" t="e">
        <f>IF(#REF!="","",IF(CE484=0,CC484,0))</f>
        <v>#REF!</v>
      </c>
      <c r="CR484" s="17"/>
      <c r="DE484"/>
    </row>
    <row r="485" spans="81:109" x14ac:dyDescent="0.25">
      <c r="CC485" s="7" t="e">
        <f>IF(#REF!="","",IF(#REF!="PF",#REF!,0))</f>
        <v>#REF!</v>
      </c>
      <c r="CD485" s="7" t="e">
        <f>IF(#REF!="","",IF(#REF!="PF",IF((#REF!+4)&lt;YEAR(#REF!),0,#REF!),0))</f>
        <v>#REF!</v>
      </c>
      <c r="CE485" s="7" t="e">
        <f>IF(#REF!="","",IF(AND(CD485&gt;0,#REF!&lt;&gt;""),CC485,0))</f>
        <v>#REF!</v>
      </c>
      <c r="CF485" s="7" t="e">
        <f>IF(#REF!="","",IF(AND($CE485&gt;0,#REF!= "GRENACHE N"),#REF!,0))</f>
        <v>#REF!</v>
      </c>
      <c r="CG485" s="7" t="e">
        <f>IF(#REF!="","",IF(AND($CE485&gt;0,#REF!="SYRAH N"),#REF!,0))</f>
        <v>#REF!</v>
      </c>
      <c r="CH485" s="7" t="e">
        <f>IF(#REF!="","",IF(AND($CE485&gt;0,#REF!="CINSAUT N"),#REF!,0))</f>
        <v>#REF!</v>
      </c>
      <c r="CI485" s="7" t="e">
        <f>IF(#REF!="","",IF(AND($CE485&gt;0,#REF!="TIBOUREN N"),#REF!,0))</f>
        <v>#REF!</v>
      </c>
      <c r="CJ485" s="7" t="e">
        <f>IF(#REF!="","",IF(AND($CE485&gt;0,#REF!="MOURVEDRE N"),#REF!,0))</f>
        <v>#REF!</v>
      </c>
      <c r="CK485" s="7" t="e">
        <f>IF(#REF!="","",IF(AND($CE485&gt;0,#REF!="CARIGNAN N"),#REF!,0))</f>
        <v>#REF!</v>
      </c>
      <c r="CL485" s="7" t="e">
        <f>IF(#REF!="","",IF(AND($CE485&gt;0,#REF!="CABERNET SAUVIGNON N"),#REF!,0))</f>
        <v>#REF!</v>
      </c>
      <c r="CM485" s="7" t="e">
        <f>IF(#REF!="","",IF(AND($CE485&gt;0,#REF!="VERMENTINO B"),#REF!,0))</f>
        <v>#REF!</v>
      </c>
      <c r="CN485" s="7" t="e">
        <f>IF(#REF!="","",IF(AND($CE485&gt;0,#REF!="UGNI BLANC B"),#REF!,0))</f>
        <v>#REF!</v>
      </c>
      <c r="CO485" s="7" t="e">
        <f>IF(#REF!="","",IF(AND($CE485&gt;0,#REF!="CLAIRETTE B"),#REF!,0))</f>
        <v>#REF!</v>
      </c>
      <c r="CP485" s="7" t="e">
        <f>IF(#REF!="","",IF(AND($CE485&gt;0,#REF!="semillon B"),#REF!,0))</f>
        <v>#REF!</v>
      </c>
      <c r="CQ485" s="7" t="e">
        <f>IF(#REF!="","",IF(CE485=0,CC485,0))</f>
        <v>#REF!</v>
      </c>
      <c r="CR485" s="17"/>
      <c r="DE485"/>
    </row>
    <row r="486" spans="81:109" x14ac:dyDescent="0.25">
      <c r="CC486" s="7" t="e">
        <f>IF(#REF!="","",IF(#REF!="PF",#REF!,0))</f>
        <v>#REF!</v>
      </c>
      <c r="CD486" s="7" t="e">
        <f>IF(#REF!="","",IF(#REF!="PF",IF((#REF!+4)&lt;YEAR(#REF!),0,#REF!),0))</f>
        <v>#REF!</v>
      </c>
      <c r="CE486" s="7" t="e">
        <f>IF(#REF!="","",IF(AND(CD486&gt;0,#REF!&lt;&gt;""),CC486,0))</f>
        <v>#REF!</v>
      </c>
      <c r="CF486" s="7" t="e">
        <f>IF(#REF!="","",IF(AND($CE486&gt;0,#REF!= "GRENACHE N"),#REF!,0))</f>
        <v>#REF!</v>
      </c>
      <c r="CG486" s="7" t="e">
        <f>IF(#REF!="","",IF(AND($CE486&gt;0,#REF!="SYRAH N"),#REF!,0))</f>
        <v>#REF!</v>
      </c>
      <c r="CH486" s="7" t="e">
        <f>IF(#REF!="","",IF(AND($CE486&gt;0,#REF!="CINSAUT N"),#REF!,0))</f>
        <v>#REF!</v>
      </c>
      <c r="CI486" s="7" t="e">
        <f>IF(#REF!="","",IF(AND($CE486&gt;0,#REF!="TIBOUREN N"),#REF!,0))</f>
        <v>#REF!</v>
      </c>
      <c r="CJ486" s="7" t="e">
        <f>IF(#REF!="","",IF(AND($CE486&gt;0,#REF!="MOURVEDRE N"),#REF!,0))</f>
        <v>#REF!</v>
      </c>
      <c r="CK486" s="7" t="e">
        <f>IF(#REF!="","",IF(AND($CE486&gt;0,#REF!="CARIGNAN N"),#REF!,0))</f>
        <v>#REF!</v>
      </c>
      <c r="CL486" s="7" t="e">
        <f>IF(#REF!="","",IF(AND($CE486&gt;0,#REF!="CABERNET SAUVIGNON N"),#REF!,0))</f>
        <v>#REF!</v>
      </c>
      <c r="CM486" s="7" t="e">
        <f>IF(#REF!="","",IF(AND($CE486&gt;0,#REF!="VERMENTINO B"),#REF!,0))</f>
        <v>#REF!</v>
      </c>
      <c r="CN486" s="7" t="e">
        <f>IF(#REF!="","",IF(AND($CE486&gt;0,#REF!="UGNI BLANC B"),#REF!,0))</f>
        <v>#REF!</v>
      </c>
      <c r="CO486" s="7" t="e">
        <f>IF(#REF!="","",IF(AND($CE486&gt;0,#REF!="CLAIRETTE B"),#REF!,0))</f>
        <v>#REF!</v>
      </c>
      <c r="CP486" s="7" t="e">
        <f>IF(#REF!="","",IF(AND($CE486&gt;0,#REF!="semillon B"),#REF!,0))</f>
        <v>#REF!</v>
      </c>
      <c r="CQ486" s="7" t="e">
        <f>IF(#REF!="","",IF(CE486=0,CC486,0))</f>
        <v>#REF!</v>
      </c>
      <c r="CR486" s="17"/>
      <c r="DE486"/>
    </row>
    <row r="487" spans="81:109" x14ac:dyDescent="0.25">
      <c r="CC487" s="7" t="e">
        <f>IF(#REF!="","",IF(#REF!="PF",#REF!,0))</f>
        <v>#REF!</v>
      </c>
      <c r="CD487" s="7" t="e">
        <f>IF(#REF!="","",IF(#REF!="PF",IF((#REF!+4)&lt;YEAR(#REF!),0,#REF!),0))</f>
        <v>#REF!</v>
      </c>
      <c r="CE487" s="7" t="e">
        <f>IF(#REF!="","",IF(AND(CD487&gt;0,#REF!&lt;&gt;""),CC487,0))</f>
        <v>#REF!</v>
      </c>
      <c r="CF487" s="7" t="e">
        <f>IF(#REF!="","",IF(AND($CE487&gt;0,#REF!= "GRENACHE N"),#REF!,0))</f>
        <v>#REF!</v>
      </c>
      <c r="CG487" s="7" t="e">
        <f>IF(#REF!="","",IF(AND($CE487&gt;0,#REF!="SYRAH N"),#REF!,0))</f>
        <v>#REF!</v>
      </c>
      <c r="CH487" s="7" t="e">
        <f>IF(#REF!="","",IF(AND($CE487&gt;0,#REF!="CINSAUT N"),#REF!,0))</f>
        <v>#REF!</v>
      </c>
      <c r="CI487" s="7" t="e">
        <f>IF(#REF!="","",IF(AND($CE487&gt;0,#REF!="TIBOUREN N"),#REF!,0))</f>
        <v>#REF!</v>
      </c>
      <c r="CJ487" s="7" t="e">
        <f>IF(#REF!="","",IF(AND($CE487&gt;0,#REF!="MOURVEDRE N"),#REF!,0))</f>
        <v>#REF!</v>
      </c>
      <c r="CK487" s="7" t="e">
        <f>IF(#REF!="","",IF(AND($CE487&gt;0,#REF!="CARIGNAN N"),#REF!,0))</f>
        <v>#REF!</v>
      </c>
      <c r="CL487" s="7" t="e">
        <f>IF(#REF!="","",IF(AND($CE487&gt;0,#REF!="CABERNET SAUVIGNON N"),#REF!,0))</f>
        <v>#REF!</v>
      </c>
      <c r="CM487" s="7" t="e">
        <f>IF(#REF!="","",IF(AND($CE487&gt;0,#REF!="VERMENTINO B"),#REF!,0))</f>
        <v>#REF!</v>
      </c>
      <c r="CN487" s="7" t="e">
        <f>IF(#REF!="","",IF(AND($CE487&gt;0,#REF!="UGNI BLANC B"),#REF!,0))</f>
        <v>#REF!</v>
      </c>
      <c r="CO487" s="7" t="e">
        <f>IF(#REF!="","",IF(AND($CE487&gt;0,#REF!="CLAIRETTE B"),#REF!,0))</f>
        <v>#REF!</v>
      </c>
      <c r="CP487" s="7" t="e">
        <f>IF(#REF!="","",IF(AND($CE487&gt;0,#REF!="semillon B"),#REF!,0))</f>
        <v>#REF!</v>
      </c>
      <c r="CQ487" s="7" t="e">
        <f>IF(#REF!="","",IF(CE487=0,CC487,0))</f>
        <v>#REF!</v>
      </c>
      <c r="CR487" s="17"/>
      <c r="DE487"/>
    </row>
    <row r="488" spans="81:109" x14ac:dyDescent="0.25">
      <c r="CC488" s="7" t="e">
        <f>IF(#REF!="","",IF(#REF!="PF",#REF!,0))</f>
        <v>#REF!</v>
      </c>
      <c r="CD488" s="7" t="e">
        <f>IF(#REF!="","",IF(#REF!="PF",IF((#REF!+4)&lt;YEAR(#REF!),0,#REF!),0))</f>
        <v>#REF!</v>
      </c>
      <c r="CE488" s="7" t="e">
        <f>IF(#REF!="","",IF(AND(CD488&gt;0,#REF!&lt;&gt;""),CC488,0))</f>
        <v>#REF!</v>
      </c>
      <c r="CF488" s="7" t="e">
        <f>IF(#REF!="","",IF(AND($CE488&gt;0,#REF!= "GRENACHE N"),#REF!,0))</f>
        <v>#REF!</v>
      </c>
      <c r="CG488" s="7" t="e">
        <f>IF(#REF!="","",IF(AND($CE488&gt;0,#REF!="SYRAH N"),#REF!,0))</f>
        <v>#REF!</v>
      </c>
      <c r="CH488" s="7" t="e">
        <f>IF(#REF!="","",IF(AND($CE488&gt;0,#REF!="CINSAUT N"),#REF!,0))</f>
        <v>#REF!</v>
      </c>
      <c r="CI488" s="7" t="e">
        <f>IF(#REF!="","",IF(AND($CE488&gt;0,#REF!="TIBOUREN N"),#REF!,0))</f>
        <v>#REF!</v>
      </c>
      <c r="CJ488" s="7" t="e">
        <f>IF(#REF!="","",IF(AND($CE488&gt;0,#REF!="MOURVEDRE N"),#REF!,0))</f>
        <v>#REF!</v>
      </c>
      <c r="CK488" s="7" t="e">
        <f>IF(#REF!="","",IF(AND($CE488&gt;0,#REF!="CARIGNAN N"),#REF!,0))</f>
        <v>#REF!</v>
      </c>
      <c r="CL488" s="7" t="e">
        <f>IF(#REF!="","",IF(AND($CE488&gt;0,#REF!="CABERNET SAUVIGNON N"),#REF!,0))</f>
        <v>#REF!</v>
      </c>
      <c r="CM488" s="7" t="e">
        <f>IF(#REF!="","",IF(AND($CE488&gt;0,#REF!="VERMENTINO B"),#REF!,0))</f>
        <v>#REF!</v>
      </c>
      <c r="CN488" s="7" t="e">
        <f>IF(#REF!="","",IF(AND($CE488&gt;0,#REF!="UGNI BLANC B"),#REF!,0))</f>
        <v>#REF!</v>
      </c>
      <c r="CO488" s="7" t="e">
        <f>IF(#REF!="","",IF(AND($CE488&gt;0,#REF!="CLAIRETTE B"),#REF!,0))</f>
        <v>#REF!</v>
      </c>
      <c r="CP488" s="7" t="e">
        <f>IF(#REF!="","",IF(AND($CE488&gt;0,#REF!="semillon B"),#REF!,0))</f>
        <v>#REF!</v>
      </c>
      <c r="CQ488" s="7" t="e">
        <f>IF(#REF!="","",IF(CE488=0,CC488,0))</f>
        <v>#REF!</v>
      </c>
      <c r="CR488" s="17"/>
      <c r="DE488"/>
    </row>
    <row r="489" spans="81:109" x14ac:dyDescent="0.25">
      <c r="CC489" s="7" t="e">
        <f>IF(#REF!="","",IF(#REF!="PF",#REF!,0))</f>
        <v>#REF!</v>
      </c>
      <c r="CD489" s="7" t="e">
        <f>IF(#REF!="","",IF(#REF!="PF",IF((#REF!+4)&lt;YEAR(#REF!),0,#REF!),0))</f>
        <v>#REF!</v>
      </c>
      <c r="CE489" s="7" t="e">
        <f>IF(#REF!="","",IF(AND(CD489&gt;0,#REF!&lt;&gt;""),CC489,0))</f>
        <v>#REF!</v>
      </c>
      <c r="CF489" s="7" t="e">
        <f>IF(#REF!="","",IF(AND($CE489&gt;0,#REF!= "GRENACHE N"),#REF!,0))</f>
        <v>#REF!</v>
      </c>
      <c r="CG489" s="7" t="e">
        <f>IF(#REF!="","",IF(AND($CE489&gt;0,#REF!="SYRAH N"),#REF!,0))</f>
        <v>#REF!</v>
      </c>
      <c r="CH489" s="7" t="e">
        <f>IF(#REF!="","",IF(AND($CE489&gt;0,#REF!="CINSAUT N"),#REF!,0))</f>
        <v>#REF!</v>
      </c>
      <c r="CI489" s="7" t="e">
        <f>IF(#REF!="","",IF(AND($CE489&gt;0,#REF!="TIBOUREN N"),#REF!,0))</f>
        <v>#REF!</v>
      </c>
      <c r="CJ489" s="7" t="e">
        <f>IF(#REF!="","",IF(AND($CE489&gt;0,#REF!="MOURVEDRE N"),#REF!,0))</f>
        <v>#REF!</v>
      </c>
      <c r="CK489" s="7" t="e">
        <f>IF(#REF!="","",IF(AND($CE489&gt;0,#REF!="CARIGNAN N"),#REF!,0))</f>
        <v>#REF!</v>
      </c>
      <c r="CL489" s="7" t="e">
        <f>IF(#REF!="","",IF(AND($CE489&gt;0,#REF!="CABERNET SAUVIGNON N"),#REF!,0))</f>
        <v>#REF!</v>
      </c>
      <c r="CM489" s="7" t="e">
        <f>IF(#REF!="","",IF(AND($CE489&gt;0,#REF!="VERMENTINO B"),#REF!,0))</f>
        <v>#REF!</v>
      </c>
      <c r="CN489" s="7" t="e">
        <f>IF(#REF!="","",IF(AND($CE489&gt;0,#REF!="UGNI BLANC B"),#REF!,0))</f>
        <v>#REF!</v>
      </c>
      <c r="CO489" s="7" t="e">
        <f>IF(#REF!="","",IF(AND($CE489&gt;0,#REF!="CLAIRETTE B"),#REF!,0))</f>
        <v>#REF!</v>
      </c>
      <c r="CP489" s="7" t="e">
        <f>IF(#REF!="","",IF(AND($CE489&gt;0,#REF!="semillon B"),#REF!,0))</f>
        <v>#REF!</v>
      </c>
      <c r="CQ489" s="7" t="e">
        <f>IF(#REF!="","",IF(CE489=0,CC489,0))</f>
        <v>#REF!</v>
      </c>
      <c r="CR489" s="17"/>
      <c r="DE489"/>
    </row>
    <row r="490" spans="81:109" x14ac:dyDescent="0.25">
      <c r="CC490" s="7" t="e">
        <f>IF(#REF!="","",IF(#REF!="PF",#REF!,0))</f>
        <v>#REF!</v>
      </c>
      <c r="CD490" s="7" t="e">
        <f>IF(#REF!="","",IF(#REF!="PF",IF((#REF!+4)&lt;YEAR(#REF!),0,#REF!),0))</f>
        <v>#REF!</v>
      </c>
      <c r="CE490" s="7" t="e">
        <f>IF(#REF!="","",IF(AND(CD490&gt;0,#REF!&lt;&gt;""),CC490,0))</f>
        <v>#REF!</v>
      </c>
      <c r="CF490" s="7" t="e">
        <f>IF(#REF!="","",IF(AND($CE490&gt;0,#REF!= "GRENACHE N"),#REF!,0))</f>
        <v>#REF!</v>
      </c>
      <c r="CG490" s="7" t="e">
        <f>IF(#REF!="","",IF(AND($CE490&gt;0,#REF!="SYRAH N"),#REF!,0))</f>
        <v>#REF!</v>
      </c>
      <c r="CH490" s="7" t="e">
        <f>IF(#REF!="","",IF(AND($CE490&gt;0,#REF!="CINSAUT N"),#REF!,0))</f>
        <v>#REF!</v>
      </c>
      <c r="CI490" s="7" t="e">
        <f>IF(#REF!="","",IF(AND($CE490&gt;0,#REF!="TIBOUREN N"),#REF!,0))</f>
        <v>#REF!</v>
      </c>
      <c r="CJ490" s="7" t="e">
        <f>IF(#REF!="","",IF(AND($CE490&gt;0,#REF!="MOURVEDRE N"),#REF!,0))</f>
        <v>#REF!</v>
      </c>
      <c r="CK490" s="7" t="e">
        <f>IF(#REF!="","",IF(AND($CE490&gt;0,#REF!="CARIGNAN N"),#REF!,0))</f>
        <v>#REF!</v>
      </c>
      <c r="CL490" s="7" t="e">
        <f>IF(#REF!="","",IF(AND($CE490&gt;0,#REF!="CABERNET SAUVIGNON N"),#REF!,0))</f>
        <v>#REF!</v>
      </c>
      <c r="CM490" s="7" t="e">
        <f>IF(#REF!="","",IF(AND($CE490&gt;0,#REF!="VERMENTINO B"),#REF!,0))</f>
        <v>#REF!</v>
      </c>
      <c r="CN490" s="7" t="e">
        <f>IF(#REF!="","",IF(AND($CE490&gt;0,#REF!="UGNI BLANC B"),#REF!,0))</f>
        <v>#REF!</v>
      </c>
      <c r="CO490" s="7" t="e">
        <f>IF(#REF!="","",IF(AND($CE490&gt;0,#REF!="CLAIRETTE B"),#REF!,0))</f>
        <v>#REF!</v>
      </c>
      <c r="CP490" s="7" t="e">
        <f>IF(#REF!="","",IF(AND($CE490&gt;0,#REF!="semillon B"),#REF!,0))</f>
        <v>#REF!</v>
      </c>
      <c r="CQ490" s="7" t="e">
        <f>IF(#REF!="","",IF(CE490=0,CC490,0))</f>
        <v>#REF!</v>
      </c>
      <c r="CR490" s="17"/>
      <c r="DE490"/>
    </row>
    <row r="491" spans="81:109" x14ac:dyDescent="0.25">
      <c r="CC491" s="7" t="e">
        <f>IF(#REF!="","",IF(#REF!="PF",#REF!,0))</f>
        <v>#REF!</v>
      </c>
      <c r="CD491" s="7" t="e">
        <f>IF(#REF!="","",IF(#REF!="PF",IF((#REF!+4)&lt;YEAR(#REF!),0,#REF!),0))</f>
        <v>#REF!</v>
      </c>
      <c r="CE491" s="7" t="e">
        <f>IF(#REF!="","",IF(AND(CD491&gt;0,#REF!&lt;&gt;""),CC491,0))</f>
        <v>#REF!</v>
      </c>
      <c r="CF491" s="7" t="e">
        <f>IF(#REF!="","",IF(AND($CE491&gt;0,#REF!= "GRENACHE N"),#REF!,0))</f>
        <v>#REF!</v>
      </c>
      <c r="CG491" s="7" t="e">
        <f>IF(#REF!="","",IF(AND($CE491&gt;0,#REF!="SYRAH N"),#REF!,0))</f>
        <v>#REF!</v>
      </c>
      <c r="CH491" s="7" t="e">
        <f>IF(#REF!="","",IF(AND($CE491&gt;0,#REF!="CINSAUT N"),#REF!,0))</f>
        <v>#REF!</v>
      </c>
      <c r="CI491" s="7" t="e">
        <f>IF(#REF!="","",IF(AND($CE491&gt;0,#REF!="TIBOUREN N"),#REF!,0))</f>
        <v>#REF!</v>
      </c>
      <c r="CJ491" s="7" t="e">
        <f>IF(#REF!="","",IF(AND($CE491&gt;0,#REF!="MOURVEDRE N"),#REF!,0))</f>
        <v>#REF!</v>
      </c>
      <c r="CK491" s="7" t="e">
        <f>IF(#REF!="","",IF(AND($CE491&gt;0,#REF!="CARIGNAN N"),#REF!,0))</f>
        <v>#REF!</v>
      </c>
      <c r="CL491" s="7" t="e">
        <f>IF(#REF!="","",IF(AND($CE491&gt;0,#REF!="CABERNET SAUVIGNON N"),#REF!,0))</f>
        <v>#REF!</v>
      </c>
      <c r="CM491" s="7" t="e">
        <f>IF(#REF!="","",IF(AND($CE491&gt;0,#REF!="VERMENTINO B"),#REF!,0))</f>
        <v>#REF!</v>
      </c>
      <c r="CN491" s="7" t="e">
        <f>IF(#REF!="","",IF(AND($CE491&gt;0,#REF!="UGNI BLANC B"),#REF!,0))</f>
        <v>#REF!</v>
      </c>
      <c r="CO491" s="7" t="e">
        <f>IF(#REF!="","",IF(AND($CE491&gt;0,#REF!="CLAIRETTE B"),#REF!,0))</f>
        <v>#REF!</v>
      </c>
      <c r="CP491" s="7" t="e">
        <f>IF(#REF!="","",IF(AND($CE491&gt;0,#REF!="semillon B"),#REF!,0))</f>
        <v>#REF!</v>
      </c>
      <c r="CQ491" s="7" t="e">
        <f>IF(#REF!="","",IF(CE491=0,CC491,0))</f>
        <v>#REF!</v>
      </c>
      <c r="CR491" s="17"/>
      <c r="DE491"/>
    </row>
    <row r="492" spans="81:109" x14ac:dyDescent="0.25">
      <c r="CC492" s="7" t="e">
        <f>IF(#REF!="","",IF(#REF!="PF",#REF!,0))</f>
        <v>#REF!</v>
      </c>
      <c r="CD492" s="7" t="e">
        <f>IF(#REF!="","",IF(#REF!="PF",IF((#REF!+4)&lt;YEAR(#REF!),0,#REF!),0))</f>
        <v>#REF!</v>
      </c>
      <c r="CE492" s="7" t="e">
        <f>IF(#REF!="","",IF(AND(CD492&gt;0,#REF!&lt;&gt;""),CC492,0))</f>
        <v>#REF!</v>
      </c>
      <c r="CF492" s="7" t="e">
        <f>IF(#REF!="","",IF(AND($CE492&gt;0,#REF!= "GRENACHE N"),#REF!,0))</f>
        <v>#REF!</v>
      </c>
      <c r="CG492" s="7" t="e">
        <f>IF(#REF!="","",IF(AND($CE492&gt;0,#REF!="SYRAH N"),#REF!,0))</f>
        <v>#REF!</v>
      </c>
      <c r="CH492" s="7" t="e">
        <f>IF(#REF!="","",IF(AND($CE492&gt;0,#REF!="CINSAUT N"),#REF!,0))</f>
        <v>#REF!</v>
      </c>
      <c r="CI492" s="7" t="e">
        <f>IF(#REF!="","",IF(AND($CE492&gt;0,#REF!="TIBOUREN N"),#REF!,0))</f>
        <v>#REF!</v>
      </c>
      <c r="CJ492" s="7" t="e">
        <f>IF(#REF!="","",IF(AND($CE492&gt;0,#REF!="MOURVEDRE N"),#REF!,0))</f>
        <v>#REF!</v>
      </c>
      <c r="CK492" s="7" t="e">
        <f>IF(#REF!="","",IF(AND($CE492&gt;0,#REF!="CARIGNAN N"),#REF!,0))</f>
        <v>#REF!</v>
      </c>
      <c r="CL492" s="7" t="e">
        <f>IF(#REF!="","",IF(AND($CE492&gt;0,#REF!="CABERNET SAUVIGNON N"),#REF!,0))</f>
        <v>#REF!</v>
      </c>
      <c r="CM492" s="7" t="e">
        <f>IF(#REF!="","",IF(AND($CE492&gt;0,#REF!="VERMENTINO B"),#REF!,0))</f>
        <v>#REF!</v>
      </c>
      <c r="CN492" s="7" t="e">
        <f>IF(#REF!="","",IF(AND($CE492&gt;0,#REF!="UGNI BLANC B"),#REF!,0))</f>
        <v>#REF!</v>
      </c>
      <c r="CO492" s="7" t="e">
        <f>IF(#REF!="","",IF(AND($CE492&gt;0,#REF!="CLAIRETTE B"),#REF!,0))</f>
        <v>#REF!</v>
      </c>
      <c r="CP492" s="7" t="e">
        <f>IF(#REF!="","",IF(AND($CE492&gt;0,#REF!="semillon B"),#REF!,0))</f>
        <v>#REF!</v>
      </c>
      <c r="CQ492" s="7" t="e">
        <f>IF(#REF!="","",IF(CE492=0,CC492,0))</f>
        <v>#REF!</v>
      </c>
      <c r="CR492" s="17"/>
      <c r="DE492"/>
    </row>
    <row r="493" spans="81:109" x14ac:dyDescent="0.25">
      <c r="CC493" s="7" t="e">
        <f>IF(#REF!="","",IF(#REF!="PF",#REF!,0))</f>
        <v>#REF!</v>
      </c>
      <c r="CD493" s="7" t="e">
        <f>IF(#REF!="","",IF(#REF!="PF",IF((#REF!+4)&lt;YEAR(#REF!),0,#REF!),0))</f>
        <v>#REF!</v>
      </c>
      <c r="CE493" s="7" t="e">
        <f>IF(#REF!="","",IF(AND(CD493&gt;0,#REF!&lt;&gt;""),CC493,0))</f>
        <v>#REF!</v>
      </c>
      <c r="CF493" s="7" t="e">
        <f>IF(#REF!="","",IF(AND($CE493&gt;0,#REF!= "GRENACHE N"),#REF!,0))</f>
        <v>#REF!</v>
      </c>
      <c r="CG493" s="7" t="e">
        <f>IF(#REF!="","",IF(AND($CE493&gt;0,#REF!="SYRAH N"),#REF!,0))</f>
        <v>#REF!</v>
      </c>
      <c r="CH493" s="7" t="e">
        <f>IF(#REF!="","",IF(AND($CE493&gt;0,#REF!="CINSAUT N"),#REF!,0))</f>
        <v>#REF!</v>
      </c>
      <c r="CI493" s="7" t="e">
        <f>IF(#REF!="","",IF(AND($CE493&gt;0,#REF!="TIBOUREN N"),#REF!,0))</f>
        <v>#REF!</v>
      </c>
      <c r="CJ493" s="7" t="e">
        <f>IF(#REF!="","",IF(AND($CE493&gt;0,#REF!="MOURVEDRE N"),#REF!,0))</f>
        <v>#REF!</v>
      </c>
      <c r="CK493" s="7" t="e">
        <f>IF(#REF!="","",IF(AND($CE493&gt;0,#REF!="CARIGNAN N"),#REF!,0))</f>
        <v>#REF!</v>
      </c>
      <c r="CL493" s="7" t="e">
        <f>IF(#REF!="","",IF(AND($CE493&gt;0,#REF!="CABERNET SAUVIGNON N"),#REF!,0))</f>
        <v>#REF!</v>
      </c>
      <c r="CM493" s="7" t="e">
        <f>IF(#REF!="","",IF(AND($CE493&gt;0,#REF!="VERMENTINO B"),#REF!,0))</f>
        <v>#REF!</v>
      </c>
      <c r="CN493" s="7" t="e">
        <f>IF(#REF!="","",IF(AND($CE493&gt;0,#REF!="UGNI BLANC B"),#REF!,0))</f>
        <v>#REF!</v>
      </c>
      <c r="CO493" s="7" t="e">
        <f>IF(#REF!="","",IF(AND($CE493&gt;0,#REF!="CLAIRETTE B"),#REF!,0))</f>
        <v>#REF!</v>
      </c>
      <c r="CP493" s="7" t="e">
        <f>IF(#REF!="","",IF(AND($CE493&gt;0,#REF!="semillon B"),#REF!,0))</f>
        <v>#REF!</v>
      </c>
      <c r="CQ493" s="7" t="e">
        <f>IF(#REF!="","",IF(CE493=0,CC493,0))</f>
        <v>#REF!</v>
      </c>
      <c r="CR493" s="17"/>
      <c r="DE493"/>
    </row>
    <row r="494" spans="81:109" x14ac:dyDescent="0.25">
      <c r="CC494" s="7" t="e">
        <f>IF(#REF!="","",IF(#REF!="PF",#REF!,0))</f>
        <v>#REF!</v>
      </c>
      <c r="CD494" s="7" t="e">
        <f>IF(#REF!="","",IF(#REF!="PF",IF((#REF!+4)&lt;YEAR(#REF!),0,#REF!),0))</f>
        <v>#REF!</v>
      </c>
      <c r="CE494" s="7" t="e">
        <f>IF(#REF!="","",IF(AND(CD494&gt;0,#REF!&lt;&gt;""),CC494,0))</f>
        <v>#REF!</v>
      </c>
      <c r="CF494" s="7" t="e">
        <f>IF(#REF!="","",IF(AND($CE494&gt;0,#REF!= "GRENACHE N"),#REF!,0))</f>
        <v>#REF!</v>
      </c>
      <c r="CG494" s="7" t="e">
        <f>IF(#REF!="","",IF(AND($CE494&gt;0,#REF!="SYRAH N"),#REF!,0))</f>
        <v>#REF!</v>
      </c>
      <c r="CH494" s="7" t="e">
        <f>IF(#REF!="","",IF(AND($CE494&gt;0,#REF!="CINSAUT N"),#REF!,0))</f>
        <v>#REF!</v>
      </c>
      <c r="CI494" s="7" t="e">
        <f>IF(#REF!="","",IF(AND($CE494&gt;0,#REF!="TIBOUREN N"),#REF!,0))</f>
        <v>#REF!</v>
      </c>
      <c r="CJ494" s="7" t="e">
        <f>IF(#REF!="","",IF(AND($CE494&gt;0,#REF!="MOURVEDRE N"),#REF!,0))</f>
        <v>#REF!</v>
      </c>
      <c r="CK494" s="7" t="e">
        <f>IF(#REF!="","",IF(AND($CE494&gt;0,#REF!="CARIGNAN N"),#REF!,0))</f>
        <v>#REF!</v>
      </c>
      <c r="CL494" s="7" t="e">
        <f>IF(#REF!="","",IF(AND($CE494&gt;0,#REF!="CABERNET SAUVIGNON N"),#REF!,0))</f>
        <v>#REF!</v>
      </c>
      <c r="CM494" s="7" t="e">
        <f>IF(#REF!="","",IF(AND($CE494&gt;0,#REF!="VERMENTINO B"),#REF!,0))</f>
        <v>#REF!</v>
      </c>
      <c r="CN494" s="7" t="e">
        <f>IF(#REF!="","",IF(AND($CE494&gt;0,#REF!="UGNI BLANC B"),#REF!,0))</f>
        <v>#REF!</v>
      </c>
      <c r="CO494" s="7" t="e">
        <f>IF(#REF!="","",IF(AND($CE494&gt;0,#REF!="CLAIRETTE B"),#REF!,0))</f>
        <v>#REF!</v>
      </c>
      <c r="CP494" s="7" t="e">
        <f>IF(#REF!="","",IF(AND($CE494&gt;0,#REF!="semillon B"),#REF!,0))</f>
        <v>#REF!</v>
      </c>
      <c r="CQ494" s="7" t="e">
        <f>IF(#REF!="","",IF(CE494=0,CC494,0))</f>
        <v>#REF!</v>
      </c>
      <c r="CR494" s="17"/>
      <c r="DE494"/>
    </row>
    <row r="495" spans="81:109" x14ac:dyDescent="0.25">
      <c r="CC495" s="7" t="e">
        <f>IF(#REF!="","",IF(#REF!="PF",#REF!,0))</f>
        <v>#REF!</v>
      </c>
      <c r="CD495" s="7" t="e">
        <f>IF(#REF!="","",IF(#REF!="PF",IF((#REF!+4)&lt;YEAR(#REF!),0,#REF!),0))</f>
        <v>#REF!</v>
      </c>
      <c r="CE495" s="7" t="e">
        <f>IF(#REF!="","",IF(AND(CD495&gt;0,#REF!&lt;&gt;""),CC495,0))</f>
        <v>#REF!</v>
      </c>
      <c r="CF495" s="7" t="e">
        <f>IF(#REF!="","",IF(AND($CE495&gt;0,#REF!= "GRENACHE N"),#REF!,0))</f>
        <v>#REF!</v>
      </c>
      <c r="CG495" s="7" t="e">
        <f>IF(#REF!="","",IF(AND($CE495&gt;0,#REF!="SYRAH N"),#REF!,0))</f>
        <v>#REF!</v>
      </c>
      <c r="CH495" s="7" t="e">
        <f>IF(#REF!="","",IF(AND($CE495&gt;0,#REF!="CINSAUT N"),#REF!,0))</f>
        <v>#REF!</v>
      </c>
      <c r="CI495" s="7" t="e">
        <f>IF(#REF!="","",IF(AND($CE495&gt;0,#REF!="TIBOUREN N"),#REF!,0))</f>
        <v>#REF!</v>
      </c>
      <c r="CJ495" s="7" t="e">
        <f>IF(#REF!="","",IF(AND($CE495&gt;0,#REF!="MOURVEDRE N"),#REF!,0))</f>
        <v>#REF!</v>
      </c>
      <c r="CK495" s="7" t="e">
        <f>IF(#REF!="","",IF(AND($CE495&gt;0,#REF!="CARIGNAN N"),#REF!,0))</f>
        <v>#REF!</v>
      </c>
      <c r="CL495" s="7" t="e">
        <f>IF(#REF!="","",IF(AND($CE495&gt;0,#REF!="CABERNET SAUVIGNON N"),#REF!,0))</f>
        <v>#REF!</v>
      </c>
      <c r="CM495" s="7" t="e">
        <f>IF(#REF!="","",IF(AND($CE495&gt;0,#REF!="VERMENTINO B"),#REF!,0))</f>
        <v>#REF!</v>
      </c>
      <c r="CN495" s="7" t="e">
        <f>IF(#REF!="","",IF(AND($CE495&gt;0,#REF!="UGNI BLANC B"),#REF!,0))</f>
        <v>#REF!</v>
      </c>
      <c r="CO495" s="7" t="e">
        <f>IF(#REF!="","",IF(AND($CE495&gt;0,#REF!="CLAIRETTE B"),#REF!,0))</f>
        <v>#REF!</v>
      </c>
      <c r="CP495" s="7" t="e">
        <f>IF(#REF!="","",IF(AND($CE495&gt;0,#REF!="semillon B"),#REF!,0))</f>
        <v>#REF!</v>
      </c>
      <c r="CQ495" s="7" t="e">
        <f>IF(#REF!="","",IF(CE495=0,CC495,0))</f>
        <v>#REF!</v>
      </c>
      <c r="CR495" s="17"/>
      <c r="DE495"/>
    </row>
    <row r="496" spans="81:109" x14ac:dyDescent="0.25">
      <c r="CC496" s="7" t="e">
        <f>IF(#REF!="","",IF(#REF!="PF",#REF!,0))</f>
        <v>#REF!</v>
      </c>
      <c r="CD496" s="7" t="e">
        <f>IF(#REF!="","",IF(#REF!="PF",IF((#REF!+4)&lt;YEAR(#REF!),0,#REF!),0))</f>
        <v>#REF!</v>
      </c>
      <c r="CE496" s="7" t="e">
        <f>IF(#REF!="","",IF(AND(CD496&gt;0,#REF!&lt;&gt;""),CC496,0))</f>
        <v>#REF!</v>
      </c>
      <c r="CF496" s="7" t="e">
        <f>IF(#REF!="","",IF(AND($CE496&gt;0,#REF!= "GRENACHE N"),#REF!,0))</f>
        <v>#REF!</v>
      </c>
      <c r="CG496" s="7" t="e">
        <f>IF(#REF!="","",IF(AND($CE496&gt;0,#REF!="SYRAH N"),#REF!,0))</f>
        <v>#REF!</v>
      </c>
      <c r="CH496" s="7" t="e">
        <f>IF(#REF!="","",IF(AND($CE496&gt;0,#REF!="CINSAUT N"),#REF!,0))</f>
        <v>#REF!</v>
      </c>
      <c r="CI496" s="7" t="e">
        <f>IF(#REF!="","",IF(AND($CE496&gt;0,#REF!="TIBOUREN N"),#REF!,0))</f>
        <v>#REF!</v>
      </c>
      <c r="CJ496" s="7" t="e">
        <f>IF(#REF!="","",IF(AND($CE496&gt;0,#REF!="MOURVEDRE N"),#REF!,0))</f>
        <v>#REF!</v>
      </c>
      <c r="CK496" s="7" t="e">
        <f>IF(#REF!="","",IF(AND($CE496&gt;0,#REF!="CARIGNAN N"),#REF!,0))</f>
        <v>#REF!</v>
      </c>
      <c r="CL496" s="7" t="e">
        <f>IF(#REF!="","",IF(AND($CE496&gt;0,#REF!="CABERNET SAUVIGNON N"),#REF!,0))</f>
        <v>#REF!</v>
      </c>
      <c r="CM496" s="7" t="e">
        <f>IF(#REF!="","",IF(AND($CE496&gt;0,#REF!="VERMENTINO B"),#REF!,0))</f>
        <v>#REF!</v>
      </c>
      <c r="CN496" s="7" t="e">
        <f>IF(#REF!="","",IF(AND($CE496&gt;0,#REF!="UGNI BLANC B"),#REF!,0))</f>
        <v>#REF!</v>
      </c>
      <c r="CO496" s="7" t="e">
        <f>IF(#REF!="","",IF(AND($CE496&gt;0,#REF!="CLAIRETTE B"),#REF!,0))</f>
        <v>#REF!</v>
      </c>
      <c r="CP496" s="7" t="e">
        <f>IF(#REF!="","",IF(AND($CE496&gt;0,#REF!="semillon B"),#REF!,0))</f>
        <v>#REF!</v>
      </c>
      <c r="CQ496" s="7" t="e">
        <f>IF(#REF!="","",IF(CE496=0,CC496,0))</f>
        <v>#REF!</v>
      </c>
      <c r="CR496" s="17"/>
      <c r="DE496"/>
    </row>
    <row r="497" spans="81:109" x14ac:dyDescent="0.25">
      <c r="CC497" s="7" t="e">
        <f>IF(#REF!="","",IF(#REF!="PF",#REF!,0))</f>
        <v>#REF!</v>
      </c>
      <c r="CD497" s="7" t="e">
        <f>IF(#REF!="","",IF(#REF!="PF",IF((#REF!+4)&lt;YEAR(#REF!),0,#REF!),0))</f>
        <v>#REF!</v>
      </c>
      <c r="CE497" s="7" t="e">
        <f>IF(#REF!="","",IF(AND(CD497&gt;0,#REF!&lt;&gt;""),CC497,0))</f>
        <v>#REF!</v>
      </c>
      <c r="CF497" s="7" t="e">
        <f>IF(#REF!="","",IF(AND($CE497&gt;0,#REF!= "GRENACHE N"),#REF!,0))</f>
        <v>#REF!</v>
      </c>
      <c r="CG497" s="7" t="e">
        <f>IF(#REF!="","",IF(AND($CE497&gt;0,#REF!="SYRAH N"),#REF!,0))</f>
        <v>#REF!</v>
      </c>
      <c r="CH497" s="7" t="e">
        <f>IF(#REF!="","",IF(AND($CE497&gt;0,#REF!="CINSAUT N"),#REF!,0))</f>
        <v>#REF!</v>
      </c>
      <c r="CI497" s="7" t="e">
        <f>IF(#REF!="","",IF(AND($CE497&gt;0,#REF!="TIBOUREN N"),#REF!,0))</f>
        <v>#REF!</v>
      </c>
      <c r="CJ497" s="7" t="e">
        <f>IF(#REF!="","",IF(AND($CE497&gt;0,#REF!="MOURVEDRE N"),#REF!,0))</f>
        <v>#REF!</v>
      </c>
      <c r="CK497" s="7" t="e">
        <f>IF(#REF!="","",IF(AND($CE497&gt;0,#REF!="CARIGNAN N"),#REF!,0))</f>
        <v>#REF!</v>
      </c>
      <c r="CL497" s="7" t="e">
        <f>IF(#REF!="","",IF(AND($CE497&gt;0,#REF!="CABERNET SAUVIGNON N"),#REF!,0))</f>
        <v>#REF!</v>
      </c>
      <c r="CM497" s="7" t="e">
        <f>IF(#REF!="","",IF(AND($CE497&gt;0,#REF!="VERMENTINO B"),#REF!,0))</f>
        <v>#REF!</v>
      </c>
      <c r="CN497" s="7" t="e">
        <f>IF(#REF!="","",IF(AND($CE497&gt;0,#REF!="UGNI BLANC B"),#REF!,0))</f>
        <v>#REF!</v>
      </c>
      <c r="CO497" s="7" t="e">
        <f>IF(#REF!="","",IF(AND($CE497&gt;0,#REF!="CLAIRETTE B"),#REF!,0))</f>
        <v>#REF!</v>
      </c>
      <c r="CP497" s="7" t="e">
        <f>IF(#REF!="","",IF(AND($CE497&gt;0,#REF!="semillon B"),#REF!,0))</f>
        <v>#REF!</v>
      </c>
      <c r="CQ497" s="7" t="e">
        <f>IF(#REF!="","",IF(CE497=0,CC497,0))</f>
        <v>#REF!</v>
      </c>
      <c r="CR497" s="17"/>
      <c r="DE497"/>
    </row>
    <row r="498" spans="81:109" x14ac:dyDescent="0.25">
      <c r="CC498" s="7" t="e">
        <f>IF(#REF!="","",IF(#REF!="PF",#REF!,0))</f>
        <v>#REF!</v>
      </c>
      <c r="CD498" s="7" t="e">
        <f>IF(#REF!="","",IF(#REF!="PF",IF((#REF!+4)&lt;YEAR(#REF!),0,#REF!),0))</f>
        <v>#REF!</v>
      </c>
      <c r="CE498" s="7" t="e">
        <f>IF(#REF!="","",IF(AND(CD498&gt;0,#REF!&lt;&gt;""),CC498,0))</f>
        <v>#REF!</v>
      </c>
      <c r="CF498" s="7" t="e">
        <f>IF(#REF!="","",IF(AND($CE498&gt;0,#REF!= "GRENACHE N"),#REF!,0))</f>
        <v>#REF!</v>
      </c>
      <c r="CG498" s="7" t="e">
        <f>IF(#REF!="","",IF(AND($CE498&gt;0,#REF!="SYRAH N"),#REF!,0))</f>
        <v>#REF!</v>
      </c>
      <c r="CH498" s="7" t="e">
        <f>IF(#REF!="","",IF(AND($CE498&gt;0,#REF!="CINSAUT N"),#REF!,0))</f>
        <v>#REF!</v>
      </c>
      <c r="CI498" s="7" t="e">
        <f>IF(#REF!="","",IF(AND($CE498&gt;0,#REF!="TIBOUREN N"),#REF!,0))</f>
        <v>#REF!</v>
      </c>
      <c r="CJ498" s="7" t="e">
        <f>IF(#REF!="","",IF(AND($CE498&gt;0,#REF!="MOURVEDRE N"),#REF!,0))</f>
        <v>#REF!</v>
      </c>
      <c r="CK498" s="7" t="e">
        <f>IF(#REF!="","",IF(AND($CE498&gt;0,#REF!="CARIGNAN N"),#REF!,0))</f>
        <v>#REF!</v>
      </c>
      <c r="CL498" s="7" t="e">
        <f>IF(#REF!="","",IF(AND($CE498&gt;0,#REF!="CABERNET SAUVIGNON N"),#REF!,0))</f>
        <v>#REF!</v>
      </c>
      <c r="CM498" s="7" t="e">
        <f>IF(#REF!="","",IF(AND($CE498&gt;0,#REF!="VERMENTINO B"),#REF!,0))</f>
        <v>#REF!</v>
      </c>
      <c r="CN498" s="7" t="e">
        <f>IF(#REF!="","",IF(AND($CE498&gt;0,#REF!="UGNI BLANC B"),#REF!,0))</f>
        <v>#REF!</v>
      </c>
      <c r="CO498" s="7" t="e">
        <f>IF(#REF!="","",IF(AND($CE498&gt;0,#REF!="CLAIRETTE B"),#REF!,0))</f>
        <v>#REF!</v>
      </c>
      <c r="CP498" s="7" t="e">
        <f>IF(#REF!="","",IF(AND($CE498&gt;0,#REF!="semillon B"),#REF!,0))</f>
        <v>#REF!</v>
      </c>
      <c r="CQ498" s="7" t="e">
        <f>IF(#REF!="","",IF(CE498=0,CC498,0))</f>
        <v>#REF!</v>
      </c>
      <c r="CR498" s="17"/>
      <c r="DE498"/>
    </row>
    <row r="499" spans="81:109" x14ac:dyDescent="0.25">
      <c r="CC499" s="7" t="e">
        <f>IF(#REF!="","",IF(#REF!="PF",#REF!,0))</f>
        <v>#REF!</v>
      </c>
      <c r="CD499" s="7" t="e">
        <f>IF(#REF!="","",IF(#REF!="PF",IF((#REF!+4)&lt;YEAR(#REF!),0,#REF!),0))</f>
        <v>#REF!</v>
      </c>
      <c r="CE499" s="7" t="e">
        <f>IF(#REF!="","",IF(AND(CD499&gt;0,#REF!&lt;&gt;""),CC499,0))</f>
        <v>#REF!</v>
      </c>
      <c r="CF499" s="7" t="e">
        <f>IF(#REF!="","",IF(AND($CE499&gt;0,#REF!= "GRENACHE N"),#REF!,0))</f>
        <v>#REF!</v>
      </c>
      <c r="CG499" s="7" t="e">
        <f>IF(#REF!="","",IF(AND($CE499&gt;0,#REF!="SYRAH N"),#REF!,0))</f>
        <v>#REF!</v>
      </c>
      <c r="CH499" s="7" t="e">
        <f>IF(#REF!="","",IF(AND($CE499&gt;0,#REF!="CINSAUT N"),#REF!,0))</f>
        <v>#REF!</v>
      </c>
      <c r="CI499" s="7" t="e">
        <f>IF(#REF!="","",IF(AND($CE499&gt;0,#REF!="TIBOUREN N"),#REF!,0))</f>
        <v>#REF!</v>
      </c>
      <c r="CJ499" s="7" t="e">
        <f>IF(#REF!="","",IF(AND($CE499&gt;0,#REF!="MOURVEDRE N"),#REF!,0))</f>
        <v>#REF!</v>
      </c>
      <c r="CK499" s="7" t="e">
        <f>IF(#REF!="","",IF(AND($CE499&gt;0,#REF!="CARIGNAN N"),#REF!,0))</f>
        <v>#REF!</v>
      </c>
      <c r="CL499" s="7" t="e">
        <f>IF(#REF!="","",IF(AND($CE499&gt;0,#REF!="CABERNET SAUVIGNON N"),#REF!,0))</f>
        <v>#REF!</v>
      </c>
      <c r="CM499" s="7" t="e">
        <f>IF(#REF!="","",IF(AND($CE499&gt;0,#REF!="VERMENTINO B"),#REF!,0))</f>
        <v>#REF!</v>
      </c>
      <c r="CN499" s="7" t="e">
        <f>IF(#REF!="","",IF(AND($CE499&gt;0,#REF!="UGNI BLANC B"),#REF!,0))</f>
        <v>#REF!</v>
      </c>
      <c r="CO499" s="7" t="e">
        <f>IF(#REF!="","",IF(AND($CE499&gt;0,#REF!="CLAIRETTE B"),#REF!,0))</f>
        <v>#REF!</v>
      </c>
      <c r="CP499" s="7" t="e">
        <f>IF(#REF!="","",IF(AND($CE499&gt;0,#REF!="semillon B"),#REF!,0))</f>
        <v>#REF!</v>
      </c>
      <c r="CQ499" s="7" t="e">
        <f>IF(#REF!="","",IF(CE499=0,CC499,0))</f>
        <v>#REF!</v>
      </c>
      <c r="CR499" s="17"/>
      <c r="DE499"/>
    </row>
    <row r="500" spans="81:109" x14ac:dyDescent="0.25">
      <c r="CC500" s="7" t="e">
        <f>IF(#REF!="","",IF(#REF!="PF",#REF!,0))</f>
        <v>#REF!</v>
      </c>
      <c r="CD500" s="7" t="e">
        <f>IF(#REF!="","",IF(#REF!="PF",IF((#REF!+4)&lt;YEAR(#REF!),0,#REF!),0))</f>
        <v>#REF!</v>
      </c>
      <c r="CE500" s="7" t="e">
        <f>IF(#REF!="","",IF(AND(CD500&gt;0,#REF!&lt;&gt;""),CC500,0))</f>
        <v>#REF!</v>
      </c>
      <c r="CF500" s="7" t="e">
        <f>IF(#REF!="","",IF(AND($CE500&gt;0,#REF!= "GRENACHE N"),#REF!,0))</f>
        <v>#REF!</v>
      </c>
      <c r="CG500" s="7" t="e">
        <f>IF(#REF!="","",IF(AND($CE500&gt;0,#REF!="SYRAH N"),#REF!,0))</f>
        <v>#REF!</v>
      </c>
      <c r="CH500" s="7" t="e">
        <f>IF(#REF!="","",IF(AND($CE500&gt;0,#REF!="CINSAUT N"),#REF!,0))</f>
        <v>#REF!</v>
      </c>
      <c r="CI500" s="7" t="e">
        <f>IF(#REF!="","",IF(AND($CE500&gt;0,#REF!="TIBOUREN N"),#REF!,0))</f>
        <v>#REF!</v>
      </c>
      <c r="CJ500" s="7" t="e">
        <f>IF(#REF!="","",IF(AND($CE500&gt;0,#REF!="MOURVEDRE N"),#REF!,0))</f>
        <v>#REF!</v>
      </c>
      <c r="CK500" s="7" t="e">
        <f>IF(#REF!="","",IF(AND($CE500&gt;0,#REF!="CARIGNAN N"),#REF!,0))</f>
        <v>#REF!</v>
      </c>
      <c r="CL500" s="7" t="e">
        <f>IF(#REF!="","",IF(AND($CE500&gt;0,#REF!="CABERNET SAUVIGNON N"),#REF!,0))</f>
        <v>#REF!</v>
      </c>
      <c r="CM500" s="7" t="e">
        <f>IF(#REF!="","",IF(AND($CE500&gt;0,#REF!="VERMENTINO B"),#REF!,0))</f>
        <v>#REF!</v>
      </c>
      <c r="CN500" s="7" t="e">
        <f>IF(#REF!="","",IF(AND($CE500&gt;0,#REF!="UGNI BLANC B"),#REF!,0))</f>
        <v>#REF!</v>
      </c>
      <c r="CO500" s="7" t="e">
        <f>IF(#REF!="","",IF(AND($CE500&gt;0,#REF!="CLAIRETTE B"),#REF!,0))</f>
        <v>#REF!</v>
      </c>
      <c r="CP500" s="7" t="e">
        <f>IF(#REF!="","",IF(AND($CE500&gt;0,#REF!="semillon B"),#REF!,0))</f>
        <v>#REF!</v>
      </c>
      <c r="CQ500" s="7" t="e">
        <f>IF(#REF!="","",IF(CE500=0,CC500,0))</f>
        <v>#REF!</v>
      </c>
      <c r="CR500" s="17"/>
      <c r="DE500"/>
    </row>
    <row r="501" spans="81:109" x14ac:dyDescent="0.25">
      <c r="CC501" s="7" t="e">
        <f>IF(#REF!="","",IF(#REF!="PF",#REF!,0))</f>
        <v>#REF!</v>
      </c>
      <c r="CD501" s="7" t="e">
        <f>IF(#REF!="","",IF(#REF!="PF",IF((#REF!+4)&lt;YEAR(#REF!),0,#REF!),0))</f>
        <v>#REF!</v>
      </c>
      <c r="CE501" s="7" t="e">
        <f>IF(#REF!="","",IF(AND(CD501&gt;0,#REF!&lt;&gt;""),CC501,0))</f>
        <v>#REF!</v>
      </c>
      <c r="CF501" s="7" t="e">
        <f>IF(#REF!="","",IF(AND($CE501&gt;0,#REF!= "GRENACHE N"),#REF!,0))</f>
        <v>#REF!</v>
      </c>
      <c r="CG501" s="7" t="e">
        <f>IF(#REF!="","",IF(AND($CE501&gt;0,#REF!="SYRAH N"),#REF!,0))</f>
        <v>#REF!</v>
      </c>
      <c r="CH501" s="7" t="e">
        <f>IF(#REF!="","",IF(AND($CE501&gt;0,#REF!="CINSAUT N"),#REF!,0))</f>
        <v>#REF!</v>
      </c>
      <c r="CI501" s="7" t="e">
        <f>IF(#REF!="","",IF(AND($CE501&gt;0,#REF!="TIBOUREN N"),#REF!,0))</f>
        <v>#REF!</v>
      </c>
      <c r="CJ501" s="7" t="e">
        <f>IF(#REF!="","",IF(AND($CE501&gt;0,#REF!="MOURVEDRE N"),#REF!,0))</f>
        <v>#REF!</v>
      </c>
      <c r="CK501" s="7" t="e">
        <f>IF(#REF!="","",IF(AND($CE501&gt;0,#REF!="CARIGNAN N"),#REF!,0))</f>
        <v>#REF!</v>
      </c>
      <c r="CL501" s="7" t="e">
        <f>IF(#REF!="","",IF(AND($CE501&gt;0,#REF!="CABERNET SAUVIGNON N"),#REF!,0))</f>
        <v>#REF!</v>
      </c>
      <c r="CM501" s="7" t="e">
        <f>IF(#REF!="","",IF(AND($CE501&gt;0,#REF!="VERMENTINO B"),#REF!,0))</f>
        <v>#REF!</v>
      </c>
      <c r="CN501" s="7" t="e">
        <f>IF(#REF!="","",IF(AND($CE501&gt;0,#REF!="UGNI BLANC B"),#REF!,0))</f>
        <v>#REF!</v>
      </c>
      <c r="CO501" s="7" t="e">
        <f>IF(#REF!="","",IF(AND($CE501&gt;0,#REF!="CLAIRETTE B"),#REF!,0))</f>
        <v>#REF!</v>
      </c>
      <c r="CP501" s="7" t="e">
        <f>IF(#REF!="","",IF(AND($CE501&gt;0,#REF!="semillon B"),#REF!,0))</f>
        <v>#REF!</v>
      </c>
      <c r="CQ501" s="7" t="e">
        <f>IF(#REF!="","",IF(CE501=0,CC501,0))</f>
        <v>#REF!</v>
      </c>
      <c r="CR501" s="17"/>
      <c r="DE501"/>
    </row>
    <row r="502" spans="81:109" x14ac:dyDescent="0.25">
      <c r="CC502" s="7" t="e">
        <f>IF(#REF!="","",IF(#REF!="PF",#REF!,0))</f>
        <v>#REF!</v>
      </c>
      <c r="CD502" s="7" t="e">
        <f>IF(#REF!="","",IF(#REF!="PF",IF((#REF!+4)&lt;YEAR(#REF!),0,#REF!),0))</f>
        <v>#REF!</v>
      </c>
      <c r="CE502" s="7" t="e">
        <f>IF(#REF!="","",IF(AND(CD502&gt;0,#REF!&lt;&gt;""),CC502,0))</f>
        <v>#REF!</v>
      </c>
      <c r="CF502" s="7" t="e">
        <f>IF(#REF!="","",IF(AND($CE502&gt;0,#REF!= "GRENACHE N"),#REF!,0))</f>
        <v>#REF!</v>
      </c>
      <c r="CG502" s="7" t="e">
        <f>IF(#REF!="","",IF(AND($CE502&gt;0,#REF!="SYRAH N"),#REF!,0))</f>
        <v>#REF!</v>
      </c>
      <c r="CH502" s="7" t="e">
        <f>IF(#REF!="","",IF(AND($CE502&gt;0,#REF!="CINSAUT N"),#REF!,0))</f>
        <v>#REF!</v>
      </c>
      <c r="CI502" s="7" t="e">
        <f>IF(#REF!="","",IF(AND($CE502&gt;0,#REF!="TIBOUREN N"),#REF!,0))</f>
        <v>#REF!</v>
      </c>
      <c r="CJ502" s="7" t="e">
        <f>IF(#REF!="","",IF(AND($CE502&gt;0,#REF!="MOURVEDRE N"),#REF!,0))</f>
        <v>#REF!</v>
      </c>
      <c r="CK502" s="7" t="e">
        <f>IF(#REF!="","",IF(AND($CE502&gt;0,#REF!="CARIGNAN N"),#REF!,0))</f>
        <v>#REF!</v>
      </c>
      <c r="CL502" s="7" t="e">
        <f>IF(#REF!="","",IF(AND($CE502&gt;0,#REF!="CABERNET SAUVIGNON N"),#REF!,0))</f>
        <v>#REF!</v>
      </c>
      <c r="CM502" s="7" t="e">
        <f>IF(#REF!="","",IF(AND($CE502&gt;0,#REF!="VERMENTINO B"),#REF!,0))</f>
        <v>#REF!</v>
      </c>
      <c r="CN502" s="7" t="e">
        <f>IF(#REF!="","",IF(AND($CE502&gt;0,#REF!="UGNI BLANC B"),#REF!,0))</f>
        <v>#REF!</v>
      </c>
      <c r="CO502" s="7" t="e">
        <f>IF(#REF!="","",IF(AND($CE502&gt;0,#REF!="CLAIRETTE B"),#REF!,0))</f>
        <v>#REF!</v>
      </c>
      <c r="CP502" s="7" t="e">
        <f>IF(#REF!="","",IF(AND($CE502&gt;0,#REF!="semillon B"),#REF!,0))</f>
        <v>#REF!</v>
      </c>
      <c r="CQ502" s="7" t="e">
        <f>IF(#REF!="","",IF(CE502=0,CC502,0))</f>
        <v>#REF!</v>
      </c>
      <c r="CR502" s="17"/>
      <c r="DE502"/>
    </row>
    <row r="503" spans="81:109" x14ac:dyDescent="0.25">
      <c r="CC503" s="7" t="e">
        <f>IF(#REF!="","",IF(#REF!="PF",#REF!,0))</f>
        <v>#REF!</v>
      </c>
      <c r="CD503" s="7" t="e">
        <f>IF(#REF!="","",IF(#REF!="PF",IF((#REF!+4)&lt;YEAR(#REF!),0,#REF!),0))</f>
        <v>#REF!</v>
      </c>
      <c r="CE503" s="7" t="e">
        <f>IF(#REF!="","",IF(AND(CD503&gt;0,#REF!&lt;&gt;""),CC503,0))</f>
        <v>#REF!</v>
      </c>
      <c r="CF503" s="7" t="e">
        <f>IF(#REF!="","",IF(AND($CE503&gt;0,#REF!= "GRENACHE N"),#REF!,0))</f>
        <v>#REF!</v>
      </c>
      <c r="CG503" s="7" t="e">
        <f>IF(#REF!="","",IF(AND($CE503&gt;0,#REF!="SYRAH N"),#REF!,0))</f>
        <v>#REF!</v>
      </c>
      <c r="CH503" s="7" t="e">
        <f>IF(#REF!="","",IF(AND($CE503&gt;0,#REF!="CINSAUT N"),#REF!,0))</f>
        <v>#REF!</v>
      </c>
      <c r="CI503" s="7" t="e">
        <f>IF(#REF!="","",IF(AND($CE503&gt;0,#REF!="TIBOUREN N"),#REF!,0))</f>
        <v>#REF!</v>
      </c>
      <c r="CJ503" s="7" t="e">
        <f>IF(#REF!="","",IF(AND($CE503&gt;0,#REF!="MOURVEDRE N"),#REF!,0))</f>
        <v>#REF!</v>
      </c>
      <c r="CK503" s="7" t="e">
        <f>IF(#REF!="","",IF(AND($CE503&gt;0,#REF!="CARIGNAN N"),#REF!,0))</f>
        <v>#REF!</v>
      </c>
      <c r="CL503" s="7" t="e">
        <f>IF(#REF!="","",IF(AND($CE503&gt;0,#REF!="CABERNET SAUVIGNON N"),#REF!,0))</f>
        <v>#REF!</v>
      </c>
      <c r="CM503" s="7" t="e">
        <f>IF(#REF!="","",IF(AND($CE503&gt;0,#REF!="VERMENTINO B"),#REF!,0))</f>
        <v>#REF!</v>
      </c>
      <c r="CN503" s="7" t="e">
        <f>IF(#REF!="","",IF(AND($CE503&gt;0,#REF!="UGNI BLANC B"),#REF!,0))</f>
        <v>#REF!</v>
      </c>
      <c r="CO503" s="7" t="e">
        <f>IF(#REF!="","",IF(AND($CE503&gt;0,#REF!="CLAIRETTE B"),#REF!,0))</f>
        <v>#REF!</v>
      </c>
      <c r="CP503" s="7" t="e">
        <f>IF(#REF!="","",IF(AND($CE503&gt;0,#REF!="semillon B"),#REF!,0))</f>
        <v>#REF!</v>
      </c>
      <c r="CQ503" s="7" t="e">
        <f>IF(#REF!="","",IF(CE503=0,CC503,0))</f>
        <v>#REF!</v>
      </c>
      <c r="CR503" s="17"/>
      <c r="DE503"/>
    </row>
    <row r="504" spans="81:109" x14ac:dyDescent="0.25">
      <c r="CC504" s="7" t="e">
        <f>IF(#REF!="","",IF(#REF!="PF",#REF!,0))</f>
        <v>#REF!</v>
      </c>
      <c r="CD504" s="7" t="e">
        <f>IF(#REF!="","",IF(#REF!="PF",IF((#REF!+4)&lt;YEAR(#REF!),0,#REF!),0))</f>
        <v>#REF!</v>
      </c>
      <c r="CE504" s="7" t="e">
        <f>IF(#REF!="","",IF(AND(CD504&gt;0,#REF!&lt;&gt;""),CC504,0))</f>
        <v>#REF!</v>
      </c>
      <c r="CF504" s="7" t="e">
        <f>IF(#REF!="","",IF(AND($CE504&gt;0,#REF!= "GRENACHE N"),#REF!,0))</f>
        <v>#REF!</v>
      </c>
      <c r="CG504" s="7" t="e">
        <f>IF(#REF!="","",IF(AND($CE504&gt;0,#REF!="SYRAH N"),#REF!,0))</f>
        <v>#REF!</v>
      </c>
      <c r="CH504" s="7" t="e">
        <f>IF(#REF!="","",IF(AND($CE504&gt;0,#REF!="CINSAUT N"),#REF!,0))</f>
        <v>#REF!</v>
      </c>
      <c r="CI504" s="7" t="e">
        <f>IF(#REF!="","",IF(AND($CE504&gt;0,#REF!="TIBOUREN N"),#REF!,0))</f>
        <v>#REF!</v>
      </c>
      <c r="CJ504" s="7" t="e">
        <f>IF(#REF!="","",IF(AND($CE504&gt;0,#REF!="MOURVEDRE N"),#REF!,0))</f>
        <v>#REF!</v>
      </c>
      <c r="CK504" s="7" t="e">
        <f>IF(#REF!="","",IF(AND($CE504&gt;0,#REF!="CARIGNAN N"),#REF!,0))</f>
        <v>#REF!</v>
      </c>
      <c r="CL504" s="7" t="e">
        <f>IF(#REF!="","",IF(AND($CE504&gt;0,#REF!="CABERNET SAUVIGNON N"),#REF!,0))</f>
        <v>#REF!</v>
      </c>
      <c r="CM504" s="7" t="e">
        <f>IF(#REF!="","",IF(AND($CE504&gt;0,#REF!="VERMENTINO B"),#REF!,0))</f>
        <v>#REF!</v>
      </c>
      <c r="CN504" s="7" t="e">
        <f>IF(#REF!="","",IF(AND($CE504&gt;0,#REF!="UGNI BLANC B"),#REF!,0))</f>
        <v>#REF!</v>
      </c>
      <c r="CO504" s="7" t="e">
        <f>IF(#REF!="","",IF(AND($CE504&gt;0,#REF!="CLAIRETTE B"),#REF!,0))</f>
        <v>#REF!</v>
      </c>
      <c r="CP504" s="7" t="e">
        <f>IF(#REF!="","",IF(AND($CE504&gt;0,#REF!="semillon B"),#REF!,0))</f>
        <v>#REF!</v>
      </c>
      <c r="CQ504" s="7" t="e">
        <f>IF(#REF!="","",IF(CE504=0,CC504,0))</f>
        <v>#REF!</v>
      </c>
      <c r="CR504" s="17"/>
      <c r="DE504"/>
    </row>
    <row r="505" spans="81:109" x14ac:dyDescent="0.25">
      <c r="CC505" s="7" t="e">
        <f>IF(#REF!="","",IF(#REF!="PF",#REF!,0))</f>
        <v>#REF!</v>
      </c>
      <c r="CD505" s="7" t="e">
        <f>IF(#REF!="","",IF(#REF!="PF",IF((#REF!+4)&lt;YEAR(#REF!),0,#REF!),0))</f>
        <v>#REF!</v>
      </c>
      <c r="CE505" s="7" t="e">
        <f>IF(#REF!="","",IF(AND(CD505&gt;0,#REF!&lt;&gt;""),CC505,0))</f>
        <v>#REF!</v>
      </c>
      <c r="CF505" s="7" t="e">
        <f>IF(#REF!="","",IF(AND($CE505&gt;0,#REF!= "GRENACHE N"),#REF!,0))</f>
        <v>#REF!</v>
      </c>
      <c r="CG505" s="7" t="e">
        <f>IF(#REF!="","",IF(AND($CE505&gt;0,#REF!="SYRAH N"),#REF!,0))</f>
        <v>#REF!</v>
      </c>
      <c r="CH505" s="7" t="e">
        <f>IF(#REF!="","",IF(AND($CE505&gt;0,#REF!="CINSAUT N"),#REF!,0))</f>
        <v>#REF!</v>
      </c>
      <c r="CI505" s="7" t="e">
        <f>IF(#REF!="","",IF(AND($CE505&gt;0,#REF!="TIBOUREN N"),#REF!,0))</f>
        <v>#REF!</v>
      </c>
      <c r="CJ505" s="7" t="e">
        <f>IF(#REF!="","",IF(AND($CE505&gt;0,#REF!="MOURVEDRE N"),#REF!,0))</f>
        <v>#REF!</v>
      </c>
      <c r="CK505" s="7" t="e">
        <f>IF(#REF!="","",IF(AND($CE505&gt;0,#REF!="CARIGNAN N"),#REF!,0))</f>
        <v>#REF!</v>
      </c>
      <c r="CL505" s="7" t="e">
        <f>IF(#REF!="","",IF(AND($CE505&gt;0,#REF!="CABERNET SAUVIGNON N"),#REF!,0))</f>
        <v>#REF!</v>
      </c>
      <c r="CM505" s="7" t="e">
        <f>IF(#REF!="","",IF(AND($CE505&gt;0,#REF!="VERMENTINO B"),#REF!,0))</f>
        <v>#REF!</v>
      </c>
      <c r="CN505" s="7" t="e">
        <f>IF(#REF!="","",IF(AND($CE505&gt;0,#REF!="UGNI BLANC B"),#REF!,0))</f>
        <v>#REF!</v>
      </c>
      <c r="CO505" s="7" t="e">
        <f>IF(#REF!="","",IF(AND($CE505&gt;0,#REF!="CLAIRETTE B"),#REF!,0))</f>
        <v>#REF!</v>
      </c>
      <c r="CP505" s="7" t="e">
        <f>IF(#REF!="","",IF(AND($CE505&gt;0,#REF!="semillon B"),#REF!,0))</f>
        <v>#REF!</v>
      </c>
      <c r="CQ505" s="7" t="e">
        <f>IF(#REF!="","",IF(CE505=0,CC505,0))</f>
        <v>#REF!</v>
      </c>
      <c r="CR505" s="17"/>
      <c r="DE505"/>
    </row>
    <row r="506" spans="81:109" x14ac:dyDescent="0.25">
      <c r="CC506" s="7" t="e">
        <f>IF(#REF!="","",IF(#REF!="PF",#REF!,0))</f>
        <v>#REF!</v>
      </c>
      <c r="CD506" s="7" t="e">
        <f>IF(#REF!="","",IF(#REF!="PF",IF((#REF!+4)&lt;YEAR(#REF!),0,#REF!),0))</f>
        <v>#REF!</v>
      </c>
      <c r="CE506" s="7" t="e">
        <f>IF(#REF!="","",IF(AND(CD506&gt;0,#REF!&lt;&gt;""),CC506,0))</f>
        <v>#REF!</v>
      </c>
      <c r="CF506" s="7" t="e">
        <f>IF(#REF!="","",IF(AND($CE506&gt;0,#REF!= "GRENACHE N"),#REF!,0))</f>
        <v>#REF!</v>
      </c>
      <c r="CG506" s="7" t="e">
        <f>IF(#REF!="","",IF(AND($CE506&gt;0,#REF!="SYRAH N"),#REF!,0))</f>
        <v>#REF!</v>
      </c>
      <c r="CH506" s="7" t="e">
        <f>IF(#REF!="","",IF(AND($CE506&gt;0,#REF!="CINSAUT N"),#REF!,0))</f>
        <v>#REF!</v>
      </c>
      <c r="CI506" s="7" t="e">
        <f>IF(#REF!="","",IF(AND($CE506&gt;0,#REF!="TIBOUREN N"),#REF!,0))</f>
        <v>#REF!</v>
      </c>
      <c r="CJ506" s="7" t="e">
        <f>IF(#REF!="","",IF(AND($CE506&gt;0,#REF!="MOURVEDRE N"),#REF!,0))</f>
        <v>#REF!</v>
      </c>
      <c r="CK506" s="7" t="e">
        <f>IF(#REF!="","",IF(AND($CE506&gt;0,#REF!="CARIGNAN N"),#REF!,0))</f>
        <v>#REF!</v>
      </c>
      <c r="CL506" s="7" t="e">
        <f>IF(#REF!="","",IF(AND($CE506&gt;0,#REF!="CABERNET SAUVIGNON N"),#REF!,0))</f>
        <v>#REF!</v>
      </c>
      <c r="CM506" s="7" t="e">
        <f>IF(#REF!="","",IF(AND($CE506&gt;0,#REF!="VERMENTINO B"),#REF!,0))</f>
        <v>#REF!</v>
      </c>
      <c r="CN506" s="7" t="e">
        <f>IF(#REF!="","",IF(AND($CE506&gt;0,#REF!="UGNI BLANC B"),#REF!,0))</f>
        <v>#REF!</v>
      </c>
      <c r="CO506" s="7" t="e">
        <f>IF(#REF!="","",IF(AND($CE506&gt;0,#REF!="CLAIRETTE B"),#REF!,0))</f>
        <v>#REF!</v>
      </c>
      <c r="CP506" s="7" t="e">
        <f>IF(#REF!="","",IF(AND($CE506&gt;0,#REF!="semillon B"),#REF!,0))</f>
        <v>#REF!</v>
      </c>
      <c r="CQ506" s="7" t="e">
        <f>IF(#REF!="","",IF(CE506=0,CC506,0))</f>
        <v>#REF!</v>
      </c>
      <c r="CR506" s="17"/>
      <c r="DE506"/>
    </row>
    <row r="507" spans="81:109" x14ac:dyDescent="0.25">
      <c r="CC507" s="7" t="e">
        <f>IF(#REF!="","",IF(#REF!="PF",#REF!,0))</f>
        <v>#REF!</v>
      </c>
      <c r="CD507" s="7" t="e">
        <f>IF(#REF!="","",IF(#REF!="PF",IF((#REF!+4)&lt;YEAR(#REF!),0,#REF!),0))</f>
        <v>#REF!</v>
      </c>
      <c r="CE507" s="7" t="e">
        <f>IF(#REF!="","",IF(AND(CD507&gt;0,#REF!&lt;&gt;""),CC507,0))</f>
        <v>#REF!</v>
      </c>
      <c r="CF507" s="7" t="e">
        <f>IF(#REF!="","",IF(AND($CE507&gt;0,#REF!= "GRENACHE N"),#REF!,0))</f>
        <v>#REF!</v>
      </c>
      <c r="CG507" s="7" t="e">
        <f>IF(#REF!="","",IF(AND($CE507&gt;0,#REF!="SYRAH N"),#REF!,0))</f>
        <v>#REF!</v>
      </c>
      <c r="CH507" s="7" t="e">
        <f>IF(#REF!="","",IF(AND($CE507&gt;0,#REF!="CINSAUT N"),#REF!,0))</f>
        <v>#REF!</v>
      </c>
      <c r="CI507" s="7" t="e">
        <f>IF(#REF!="","",IF(AND($CE507&gt;0,#REF!="TIBOUREN N"),#REF!,0))</f>
        <v>#REF!</v>
      </c>
      <c r="CJ507" s="7" t="e">
        <f>IF(#REF!="","",IF(AND($CE507&gt;0,#REF!="MOURVEDRE N"),#REF!,0))</f>
        <v>#REF!</v>
      </c>
      <c r="CK507" s="7" t="e">
        <f>IF(#REF!="","",IF(AND($CE507&gt;0,#REF!="CARIGNAN N"),#REF!,0))</f>
        <v>#REF!</v>
      </c>
      <c r="CL507" s="7" t="e">
        <f>IF(#REF!="","",IF(AND($CE507&gt;0,#REF!="CABERNET SAUVIGNON N"),#REF!,0))</f>
        <v>#REF!</v>
      </c>
      <c r="CM507" s="7" t="e">
        <f>IF(#REF!="","",IF(AND($CE507&gt;0,#REF!="VERMENTINO B"),#REF!,0))</f>
        <v>#REF!</v>
      </c>
      <c r="CN507" s="7" t="e">
        <f>IF(#REF!="","",IF(AND($CE507&gt;0,#REF!="UGNI BLANC B"),#REF!,0))</f>
        <v>#REF!</v>
      </c>
      <c r="CO507" s="7" t="e">
        <f>IF(#REF!="","",IF(AND($CE507&gt;0,#REF!="CLAIRETTE B"),#REF!,0))</f>
        <v>#REF!</v>
      </c>
      <c r="CP507" s="7" t="e">
        <f>IF(#REF!="","",IF(AND($CE507&gt;0,#REF!="semillon B"),#REF!,0))</f>
        <v>#REF!</v>
      </c>
      <c r="CQ507" s="7" t="e">
        <f>IF(#REF!="","",IF(CE507=0,CC507,0))</f>
        <v>#REF!</v>
      </c>
      <c r="CR507" s="17"/>
      <c r="DE507"/>
    </row>
    <row r="508" spans="81:109" x14ac:dyDescent="0.25">
      <c r="CC508" s="7" t="e">
        <f>IF(#REF!="","",IF(#REF!="PF",#REF!,0))</f>
        <v>#REF!</v>
      </c>
      <c r="CD508" s="7" t="e">
        <f>IF(#REF!="","",IF(#REF!="PF",IF((#REF!+4)&lt;YEAR(#REF!),0,#REF!),0))</f>
        <v>#REF!</v>
      </c>
      <c r="CE508" s="7" t="e">
        <f>IF(#REF!="","",IF(AND(CD508&gt;0,#REF!&lt;&gt;""),CC508,0))</f>
        <v>#REF!</v>
      </c>
      <c r="CF508" s="7" t="e">
        <f>IF(#REF!="","",IF(AND($CE508&gt;0,#REF!= "GRENACHE N"),#REF!,0))</f>
        <v>#REF!</v>
      </c>
      <c r="CG508" s="7" t="e">
        <f>IF(#REF!="","",IF(AND($CE508&gt;0,#REF!="SYRAH N"),#REF!,0))</f>
        <v>#REF!</v>
      </c>
      <c r="CH508" s="7" t="e">
        <f>IF(#REF!="","",IF(AND($CE508&gt;0,#REF!="CINSAUT N"),#REF!,0))</f>
        <v>#REF!</v>
      </c>
      <c r="CI508" s="7" t="e">
        <f>IF(#REF!="","",IF(AND($CE508&gt;0,#REF!="TIBOUREN N"),#REF!,0))</f>
        <v>#REF!</v>
      </c>
      <c r="CJ508" s="7" t="e">
        <f>IF(#REF!="","",IF(AND($CE508&gt;0,#REF!="MOURVEDRE N"),#REF!,0))</f>
        <v>#REF!</v>
      </c>
      <c r="CK508" s="7" t="e">
        <f>IF(#REF!="","",IF(AND($CE508&gt;0,#REF!="CARIGNAN N"),#REF!,0))</f>
        <v>#REF!</v>
      </c>
      <c r="CL508" s="7" t="e">
        <f>IF(#REF!="","",IF(AND($CE508&gt;0,#REF!="CABERNET SAUVIGNON N"),#REF!,0))</f>
        <v>#REF!</v>
      </c>
      <c r="CM508" s="7" t="e">
        <f>IF(#REF!="","",IF(AND($CE508&gt;0,#REF!="VERMENTINO B"),#REF!,0))</f>
        <v>#REF!</v>
      </c>
      <c r="CN508" s="7" t="e">
        <f>IF(#REF!="","",IF(AND($CE508&gt;0,#REF!="UGNI BLANC B"),#REF!,0))</f>
        <v>#REF!</v>
      </c>
      <c r="CO508" s="7" t="e">
        <f>IF(#REF!="","",IF(AND($CE508&gt;0,#REF!="CLAIRETTE B"),#REF!,0))</f>
        <v>#REF!</v>
      </c>
      <c r="CP508" s="7" t="e">
        <f>IF(#REF!="","",IF(AND($CE508&gt;0,#REF!="semillon B"),#REF!,0))</f>
        <v>#REF!</v>
      </c>
      <c r="CQ508" s="7" t="e">
        <f>IF(#REF!="","",IF(CE508=0,CC508,0))</f>
        <v>#REF!</v>
      </c>
      <c r="CR508" s="17"/>
      <c r="DE508"/>
    </row>
    <row r="509" spans="81:109" x14ac:dyDescent="0.25">
      <c r="CC509" s="7" t="e">
        <f>IF(#REF!="","",IF(#REF!="PF",#REF!,0))</f>
        <v>#REF!</v>
      </c>
      <c r="CD509" s="7" t="e">
        <f>IF(#REF!="","",IF(#REF!="PF",IF((#REF!+4)&lt;YEAR(#REF!),0,#REF!),0))</f>
        <v>#REF!</v>
      </c>
      <c r="CE509" s="7" t="e">
        <f>IF(#REF!="","",IF(AND(CD509&gt;0,#REF!&lt;&gt;""),CC509,0))</f>
        <v>#REF!</v>
      </c>
      <c r="CF509" s="7" t="e">
        <f>IF(#REF!="","",IF(AND($CE509&gt;0,#REF!= "GRENACHE N"),#REF!,0))</f>
        <v>#REF!</v>
      </c>
      <c r="CG509" s="7" t="e">
        <f>IF(#REF!="","",IF(AND($CE509&gt;0,#REF!="SYRAH N"),#REF!,0))</f>
        <v>#REF!</v>
      </c>
      <c r="CH509" s="7" t="e">
        <f>IF(#REF!="","",IF(AND($CE509&gt;0,#REF!="CINSAUT N"),#REF!,0))</f>
        <v>#REF!</v>
      </c>
      <c r="CI509" s="7" t="e">
        <f>IF(#REF!="","",IF(AND($CE509&gt;0,#REF!="TIBOUREN N"),#REF!,0))</f>
        <v>#REF!</v>
      </c>
      <c r="CJ509" s="7" t="e">
        <f>IF(#REF!="","",IF(AND($CE509&gt;0,#REF!="MOURVEDRE N"),#REF!,0))</f>
        <v>#REF!</v>
      </c>
      <c r="CK509" s="7" t="e">
        <f>IF(#REF!="","",IF(AND($CE509&gt;0,#REF!="CARIGNAN N"),#REF!,0))</f>
        <v>#REF!</v>
      </c>
      <c r="CL509" s="7" t="e">
        <f>IF(#REF!="","",IF(AND($CE509&gt;0,#REF!="CABERNET SAUVIGNON N"),#REF!,0))</f>
        <v>#REF!</v>
      </c>
      <c r="CM509" s="7" t="e">
        <f>IF(#REF!="","",IF(AND($CE509&gt;0,#REF!="VERMENTINO B"),#REF!,0))</f>
        <v>#REF!</v>
      </c>
      <c r="CN509" s="7" t="e">
        <f>IF(#REF!="","",IF(AND($CE509&gt;0,#REF!="UGNI BLANC B"),#REF!,0))</f>
        <v>#REF!</v>
      </c>
      <c r="CO509" s="7" t="e">
        <f>IF(#REF!="","",IF(AND($CE509&gt;0,#REF!="CLAIRETTE B"),#REF!,0))</f>
        <v>#REF!</v>
      </c>
      <c r="CP509" s="7" t="e">
        <f>IF(#REF!="","",IF(AND($CE509&gt;0,#REF!="semillon B"),#REF!,0))</f>
        <v>#REF!</v>
      </c>
      <c r="CQ509" s="7" t="e">
        <f>IF(#REF!="","",IF(CE509=0,CC509,0))</f>
        <v>#REF!</v>
      </c>
      <c r="CR509" s="17"/>
      <c r="DE509"/>
    </row>
    <row r="510" spans="81:109" x14ac:dyDescent="0.25">
      <c r="CC510" s="7" t="e">
        <f>IF(#REF!="","",IF(#REF!="PF",#REF!,0))</f>
        <v>#REF!</v>
      </c>
      <c r="CD510" s="7" t="e">
        <f>IF(#REF!="","",IF(#REF!="PF",IF((#REF!+4)&lt;YEAR(#REF!),0,#REF!),0))</f>
        <v>#REF!</v>
      </c>
      <c r="CE510" s="7" t="e">
        <f>IF(#REF!="","",IF(AND(CD510&gt;0,#REF!&lt;&gt;""),CC510,0))</f>
        <v>#REF!</v>
      </c>
      <c r="CF510" s="7" t="e">
        <f>IF(#REF!="","",IF(AND($CE510&gt;0,#REF!= "GRENACHE N"),#REF!,0))</f>
        <v>#REF!</v>
      </c>
      <c r="CG510" s="7" t="e">
        <f>IF(#REF!="","",IF(AND($CE510&gt;0,#REF!="SYRAH N"),#REF!,0))</f>
        <v>#REF!</v>
      </c>
      <c r="CH510" s="7" t="e">
        <f>IF(#REF!="","",IF(AND($CE510&gt;0,#REF!="CINSAUT N"),#REF!,0))</f>
        <v>#REF!</v>
      </c>
      <c r="CI510" s="7" t="e">
        <f>IF(#REF!="","",IF(AND($CE510&gt;0,#REF!="TIBOUREN N"),#REF!,0))</f>
        <v>#REF!</v>
      </c>
      <c r="CJ510" s="7" t="e">
        <f>IF(#REF!="","",IF(AND($CE510&gt;0,#REF!="MOURVEDRE N"),#REF!,0))</f>
        <v>#REF!</v>
      </c>
      <c r="CK510" s="7" t="e">
        <f>IF(#REF!="","",IF(AND($CE510&gt;0,#REF!="CARIGNAN N"),#REF!,0))</f>
        <v>#REF!</v>
      </c>
      <c r="CL510" s="7" t="e">
        <f>IF(#REF!="","",IF(AND($CE510&gt;0,#REF!="CABERNET SAUVIGNON N"),#REF!,0))</f>
        <v>#REF!</v>
      </c>
      <c r="CM510" s="7" t="e">
        <f>IF(#REF!="","",IF(AND($CE510&gt;0,#REF!="VERMENTINO B"),#REF!,0))</f>
        <v>#REF!</v>
      </c>
      <c r="CN510" s="7" t="e">
        <f>IF(#REF!="","",IF(AND($CE510&gt;0,#REF!="UGNI BLANC B"),#REF!,0))</f>
        <v>#REF!</v>
      </c>
      <c r="CO510" s="7" t="e">
        <f>IF(#REF!="","",IF(AND($CE510&gt;0,#REF!="CLAIRETTE B"),#REF!,0))</f>
        <v>#REF!</v>
      </c>
      <c r="CP510" s="7" t="e">
        <f>IF(#REF!="","",IF(AND($CE510&gt;0,#REF!="semillon B"),#REF!,0))</f>
        <v>#REF!</v>
      </c>
      <c r="CQ510" s="7" t="e">
        <f>IF(#REF!="","",IF(CE510=0,CC510,0))</f>
        <v>#REF!</v>
      </c>
      <c r="CR510" s="17"/>
      <c r="DE510"/>
    </row>
    <row r="511" spans="81:109" x14ac:dyDescent="0.25">
      <c r="CC511" s="7" t="e">
        <f>IF(#REF!="","",IF(#REF!="PF",#REF!,0))</f>
        <v>#REF!</v>
      </c>
      <c r="CD511" s="7" t="e">
        <f>IF(#REF!="","",IF(#REF!="PF",IF((#REF!+4)&lt;YEAR(#REF!),0,#REF!),0))</f>
        <v>#REF!</v>
      </c>
      <c r="CE511" s="7" t="e">
        <f>IF(#REF!="","",IF(AND(CD511&gt;0,#REF!&lt;&gt;""),CC511,0))</f>
        <v>#REF!</v>
      </c>
      <c r="CF511" s="7" t="e">
        <f>IF(#REF!="","",IF(AND($CE511&gt;0,#REF!= "GRENACHE N"),#REF!,0))</f>
        <v>#REF!</v>
      </c>
      <c r="CG511" s="7" t="e">
        <f>IF(#REF!="","",IF(AND($CE511&gt;0,#REF!="SYRAH N"),#REF!,0))</f>
        <v>#REF!</v>
      </c>
      <c r="CH511" s="7" t="e">
        <f>IF(#REF!="","",IF(AND($CE511&gt;0,#REF!="CINSAUT N"),#REF!,0))</f>
        <v>#REF!</v>
      </c>
      <c r="CI511" s="7" t="e">
        <f>IF(#REF!="","",IF(AND($CE511&gt;0,#REF!="TIBOUREN N"),#REF!,0))</f>
        <v>#REF!</v>
      </c>
      <c r="CJ511" s="7" t="e">
        <f>IF(#REF!="","",IF(AND($CE511&gt;0,#REF!="MOURVEDRE N"),#REF!,0))</f>
        <v>#REF!</v>
      </c>
      <c r="CK511" s="7" t="e">
        <f>IF(#REF!="","",IF(AND($CE511&gt;0,#REF!="CARIGNAN N"),#REF!,0))</f>
        <v>#REF!</v>
      </c>
      <c r="CL511" s="7" t="e">
        <f>IF(#REF!="","",IF(AND($CE511&gt;0,#REF!="CABERNET SAUVIGNON N"),#REF!,0))</f>
        <v>#REF!</v>
      </c>
      <c r="CM511" s="7" t="e">
        <f>IF(#REF!="","",IF(AND($CE511&gt;0,#REF!="VERMENTINO B"),#REF!,0))</f>
        <v>#REF!</v>
      </c>
      <c r="CN511" s="7" t="e">
        <f>IF(#REF!="","",IF(AND($CE511&gt;0,#REF!="UGNI BLANC B"),#REF!,0))</f>
        <v>#REF!</v>
      </c>
      <c r="CO511" s="7" t="e">
        <f>IF(#REF!="","",IF(AND($CE511&gt;0,#REF!="CLAIRETTE B"),#REF!,0))</f>
        <v>#REF!</v>
      </c>
      <c r="CP511" s="7" t="e">
        <f>IF(#REF!="","",IF(AND($CE511&gt;0,#REF!="semillon B"),#REF!,0))</f>
        <v>#REF!</v>
      </c>
      <c r="CQ511" s="7" t="e">
        <f>IF(#REF!="","",IF(CE511=0,CC511,0))</f>
        <v>#REF!</v>
      </c>
      <c r="CR511" s="17"/>
      <c r="DE511"/>
    </row>
    <row r="512" spans="81:109" x14ac:dyDescent="0.25">
      <c r="CC512" s="7" t="e">
        <f>IF(#REF!="","",IF(#REF!="PF",#REF!,0))</f>
        <v>#REF!</v>
      </c>
      <c r="CD512" s="7" t="e">
        <f>IF(#REF!="","",IF(#REF!="PF",IF((#REF!+4)&lt;YEAR(#REF!),0,#REF!),0))</f>
        <v>#REF!</v>
      </c>
      <c r="CE512" s="7" t="e">
        <f>IF(#REF!="","",IF(AND(CD512&gt;0,#REF!&lt;&gt;""),CC512,0))</f>
        <v>#REF!</v>
      </c>
      <c r="CF512" s="7" t="e">
        <f>IF(#REF!="","",IF(AND($CE512&gt;0,#REF!= "GRENACHE N"),#REF!,0))</f>
        <v>#REF!</v>
      </c>
      <c r="CG512" s="7" t="e">
        <f>IF(#REF!="","",IF(AND($CE512&gt;0,#REF!="SYRAH N"),#REF!,0))</f>
        <v>#REF!</v>
      </c>
      <c r="CH512" s="7" t="e">
        <f>IF(#REF!="","",IF(AND($CE512&gt;0,#REF!="CINSAUT N"),#REF!,0))</f>
        <v>#REF!</v>
      </c>
      <c r="CI512" s="7" t="e">
        <f>IF(#REF!="","",IF(AND($CE512&gt;0,#REF!="TIBOUREN N"),#REF!,0))</f>
        <v>#REF!</v>
      </c>
      <c r="CJ512" s="7" t="e">
        <f>IF(#REF!="","",IF(AND($CE512&gt;0,#REF!="MOURVEDRE N"),#REF!,0))</f>
        <v>#REF!</v>
      </c>
      <c r="CK512" s="7" t="e">
        <f>IF(#REF!="","",IF(AND($CE512&gt;0,#REF!="CARIGNAN N"),#REF!,0))</f>
        <v>#REF!</v>
      </c>
      <c r="CL512" s="7" t="e">
        <f>IF(#REF!="","",IF(AND($CE512&gt;0,#REF!="CABERNET SAUVIGNON N"),#REF!,0))</f>
        <v>#REF!</v>
      </c>
      <c r="CM512" s="7" t="e">
        <f>IF(#REF!="","",IF(AND($CE512&gt;0,#REF!="VERMENTINO B"),#REF!,0))</f>
        <v>#REF!</v>
      </c>
      <c r="CN512" s="7" t="e">
        <f>IF(#REF!="","",IF(AND($CE512&gt;0,#REF!="UGNI BLANC B"),#REF!,0))</f>
        <v>#REF!</v>
      </c>
      <c r="CO512" s="7" t="e">
        <f>IF(#REF!="","",IF(AND($CE512&gt;0,#REF!="CLAIRETTE B"),#REF!,0))</f>
        <v>#REF!</v>
      </c>
      <c r="CP512" s="7" t="e">
        <f>IF(#REF!="","",IF(AND($CE512&gt;0,#REF!="semillon B"),#REF!,0))</f>
        <v>#REF!</v>
      </c>
      <c r="CQ512" s="7" t="e">
        <f>IF(#REF!="","",IF(CE512=0,CC512,0))</f>
        <v>#REF!</v>
      </c>
      <c r="CR512" s="17"/>
      <c r="DE512"/>
    </row>
    <row r="513" spans="81:109" x14ac:dyDescent="0.25">
      <c r="CC513" s="7" t="e">
        <f>IF(#REF!="","",IF(#REF!="PF",#REF!,0))</f>
        <v>#REF!</v>
      </c>
      <c r="CD513" s="7" t="e">
        <f>IF(#REF!="","",IF(#REF!="PF",IF((#REF!+4)&lt;YEAR(#REF!),0,#REF!),0))</f>
        <v>#REF!</v>
      </c>
      <c r="CE513" s="7" t="e">
        <f>IF(#REF!="","",IF(AND(CD513&gt;0,#REF!&lt;&gt;""),CC513,0))</f>
        <v>#REF!</v>
      </c>
      <c r="CF513" s="7" t="e">
        <f>IF(#REF!="","",IF(AND($CE513&gt;0,#REF!= "GRENACHE N"),#REF!,0))</f>
        <v>#REF!</v>
      </c>
      <c r="CG513" s="7" t="e">
        <f>IF(#REF!="","",IF(AND($CE513&gt;0,#REF!="SYRAH N"),#REF!,0))</f>
        <v>#REF!</v>
      </c>
      <c r="CH513" s="7" t="e">
        <f>IF(#REF!="","",IF(AND($CE513&gt;0,#REF!="CINSAUT N"),#REF!,0))</f>
        <v>#REF!</v>
      </c>
      <c r="CI513" s="7" t="e">
        <f>IF(#REF!="","",IF(AND($CE513&gt;0,#REF!="TIBOUREN N"),#REF!,0))</f>
        <v>#REF!</v>
      </c>
      <c r="CJ513" s="7" t="e">
        <f>IF(#REF!="","",IF(AND($CE513&gt;0,#REF!="MOURVEDRE N"),#REF!,0))</f>
        <v>#REF!</v>
      </c>
      <c r="CK513" s="7" t="e">
        <f>IF(#REF!="","",IF(AND($CE513&gt;0,#REF!="CARIGNAN N"),#REF!,0))</f>
        <v>#REF!</v>
      </c>
      <c r="CL513" s="7" t="e">
        <f>IF(#REF!="","",IF(AND($CE513&gt;0,#REF!="CABERNET SAUVIGNON N"),#REF!,0))</f>
        <v>#REF!</v>
      </c>
      <c r="CM513" s="7" t="e">
        <f>IF(#REF!="","",IF(AND($CE513&gt;0,#REF!="VERMENTINO B"),#REF!,0))</f>
        <v>#REF!</v>
      </c>
      <c r="CN513" s="7" t="e">
        <f>IF(#REF!="","",IF(AND($CE513&gt;0,#REF!="UGNI BLANC B"),#REF!,0))</f>
        <v>#REF!</v>
      </c>
      <c r="CO513" s="7" t="e">
        <f>IF(#REF!="","",IF(AND($CE513&gt;0,#REF!="CLAIRETTE B"),#REF!,0))</f>
        <v>#REF!</v>
      </c>
      <c r="CP513" s="7" t="e">
        <f>IF(#REF!="","",IF(AND($CE513&gt;0,#REF!="semillon B"),#REF!,0))</f>
        <v>#REF!</v>
      </c>
      <c r="CQ513" s="7" t="e">
        <f>IF(#REF!="","",IF(CE513=0,CC513,0))</f>
        <v>#REF!</v>
      </c>
      <c r="CR513" s="17"/>
      <c r="DE513"/>
    </row>
    <row r="514" spans="81:109" x14ac:dyDescent="0.25">
      <c r="CC514" s="7" t="e">
        <f>IF(#REF!="","",IF(#REF!="PF",#REF!,0))</f>
        <v>#REF!</v>
      </c>
      <c r="CD514" s="7" t="e">
        <f>IF(#REF!="","",IF(#REF!="PF",IF((#REF!+4)&lt;YEAR(#REF!),0,#REF!),0))</f>
        <v>#REF!</v>
      </c>
      <c r="CE514" s="7" t="e">
        <f>IF(#REF!="","",IF(AND(CD514&gt;0,#REF!&lt;&gt;""),CC514,0))</f>
        <v>#REF!</v>
      </c>
      <c r="CF514" s="7" t="e">
        <f>IF(#REF!="","",IF(AND($CE514&gt;0,#REF!= "GRENACHE N"),#REF!,0))</f>
        <v>#REF!</v>
      </c>
      <c r="CG514" s="7" t="e">
        <f>IF(#REF!="","",IF(AND($CE514&gt;0,#REF!="SYRAH N"),#REF!,0))</f>
        <v>#REF!</v>
      </c>
      <c r="CH514" s="7" t="e">
        <f>IF(#REF!="","",IF(AND($CE514&gt;0,#REF!="CINSAUT N"),#REF!,0))</f>
        <v>#REF!</v>
      </c>
      <c r="CI514" s="7" t="e">
        <f>IF(#REF!="","",IF(AND($CE514&gt;0,#REF!="TIBOUREN N"),#REF!,0))</f>
        <v>#REF!</v>
      </c>
      <c r="CJ514" s="7" t="e">
        <f>IF(#REF!="","",IF(AND($CE514&gt;0,#REF!="MOURVEDRE N"),#REF!,0))</f>
        <v>#REF!</v>
      </c>
      <c r="CK514" s="7" t="e">
        <f>IF(#REF!="","",IF(AND($CE514&gt;0,#REF!="CARIGNAN N"),#REF!,0))</f>
        <v>#REF!</v>
      </c>
      <c r="CL514" s="7" t="e">
        <f>IF(#REF!="","",IF(AND($CE514&gt;0,#REF!="CABERNET SAUVIGNON N"),#REF!,0))</f>
        <v>#REF!</v>
      </c>
      <c r="CM514" s="7" t="e">
        <f>IF(#REF!="","",IF(AND($CE514&gt;0,#REF!="VERMENTINO B"),#REF!,0))</f>
        <v>#REF!</v>
      </c>
      <c r="CN514" s="7" t="e">
        <f>IF(#REF!="","",IF(AND($CE514&gt;0,#REF!="UGNI BLANC B"),#REF!,0))</f>
        <v>#REF!</v>
      </c>
      <c r="CO514" s="7" t="e">
        <f>IF(#REF!="","",IF(AND($CE514&gt;0,#REF!="CLAIRETTE B"),#REF!,0))</f>
        <v>#REF!</v>
      </c>
      <c r="CP514" s="7" t="e">
        <f>IF(#REF!="","",IF(AND($CE514&gt;0,#REF!="semillon B"),#REF!,0))</f>
        <v>#REF!</v>
      </c>
      <c r="CQ514" s="7" t="e">
        <f>IF(#REF!="","",IF(CE514=0,CC514,0))</f>
        <v>#REF!</v>
      </c>
      <c r="CR514" s="17"/>
      <c r="DE514"/>
    </row>
    <row r="515" spans="81:109" x14ac:dyDescent="0.25">
      <c r="CC515" s="7" t="e">
        <f>IF(#REF!="","",IF(#REF!="PF",#REF!,0))</f>
        <v>#REF!</v>
      </c>
      <c r="CD515" s="7" t="e">
        <f>IF(#REF!="","",IF(#REF!="PF",IF((#REF!+4)&lt;YEAR(#REF!),0,#REF!),0))</f>
        <v>#REF!</v>
      </c>
      <c r="CE515" s="7" t="e">
        <f>IF(#REF!="","",IF(AND(CD515&gt;0,#REF!&lt;&gt;""),CC515,0))</f>
        <v>#REF!</v>
      </c>
      <c r="CF515" s="7" t="e">
        <f>IF(#REF!="","",IF(AND($CE515&gt;0,#REF!= "GRENACHE N"),#REF!,0))</f>
        <v>#REF!</v>
      </c>
      <c r="CG515" s="7" t="e">
        <f>IF(#REF!="","",IF(AND($CE515&gt;0,#REF!="SYRAH N"),#REF!,0))</f>
        <v>#REF!</v>
      </c>
      <c r="CH515" s="7" t="e">
        <f>IF(#REF!="","",IF(AND($CE515&gt;0,#REF!="CINSAUT N"),#REF!,0))</f>
        <v>#REF!</v>
      </c>
      <c r="CI515" s="7" t="e">
        <f>IF(#REF!="","",IF(AND($CE515&gt;0,#REF!="TIBOUREN N"),#REF!,0))</f>
        <v>#REF!</v>
      </c>
      <c r="CJ515" s="7" t="e">
        <f>IF(#REF!="","",IF(AND($CE515&gt;0,#REF!="MOURVEDRE N"),#REF!,0))</f>
        <v>#REF!</v>
      </c>
      <c r="CK515" s="7" t="e">
        <f>IF(#REF!="","",IF(AND($CE515&gt;0,#REF!="CARIGNAN N"),#REF!,0))</f>
        <v>#REF!</v>
      </c>
      <c r="CL515" s="7" t="e">
        <f>IF(#REF!="","",IF(AND($CE515&gt;0,#REF!="CABERNET SAUVIGNON N"),#REF!,0))</f>
        <v>#REF!</v>
      </c>
      <c r="CM515" s="7" t="e">
        <f>IF(#REF!="","",IF(AND($CE515&gt;0,#REF!="VERMENTINO B"),#REF!,0))</f>
        <v>#REF!</v>
      </c>
      <c r="CN515" s="7" t="e">
        <f>IF(#REF!="","",IF(AND($CE515&gt;0,#REF!="UGNI BLANC B"),#REF!,0))</f>
        <v>#REF!</v>
      </c>
      <c r="CO515" s="7" t="e">
        <f>IF(#REF!="","",IF(AND($CE515&gt;0,#REF!="CLAIRETTE B"),#REF!,0))</f>
        <v>#REF!</v>
      </c>
      <c r="CP515" s="7" t="e">
        <f>IF(#REF!="","",IF(AND($CE515&gt;0,#REF!="semillon B"),#REF!,0))</f>
        <v>#REF!</v>
      </c>
      <c r="CQ515" s="7" t="e">
        <f>IF(#REF!="","",IF(CE515=0,CC515,0))</f>
        <v>#REF!</v>
      </c>
      <c r="CR515" s="17"/>
      <c r="DE515"/>
    </row>
    <row r="516" spans="81:109" x14ac:dyDescent="0.25">
      <c r="CC516" s="7" t="e">
        <f>IF(#REF!="","",IF(#REF!="PF",#REF!,0))</f>
        <v>#REF!</v>
      </c>
      <c r="CD516" s="7" t="e">
        <f>IF(#REF!="","",IF(#REF!="PF",IF((#REF!+4)&lt;YEAR(#REF!),0,#REF!),0))</f>
        <v>#REF!</v>
      </c>
      <c r="CE516" s="7" t="e">
        <f>IF(#REF!="","",IF(AND(CD516&gt;0,#REF!&lt;&gt;""),CC516,0))</f>
        <v>#REF!</v>
      </c>
      <c r="CF516" s="7" t="e">
        <f>IF(#REF!="","",IF(AND($CE516&gt;0,#REF!= "GRENACHE N"),#REF!,0))</f>
        <v>#REF!</v>
      </c>
      <c r="CG516" s="7" t="e">
        <f>IF(#REF!="","",IF(AND($CE516&gt;0,#REF!="SYRAH N"),#REF!,0))</f>
        <v>#REF!</v>
      </c>
      <c r="CH516" s="7" t="e">
        <f>IF(#REF!="","",IF(AND($CE516&gt;0,#REF!="CINSAUT N"),#REF!,0))</f>
        <v>#REF!</v>
      </c>
      <c r="CI516" s="7" t="e">
        <f>IF(#REF!="","",IF(AND($CE516&gt;0,#REF!="TIBOUREN N"),#REF!,0))</f>
        <v>#REF!</v>
      </c>
      <c r="CJ516" s="7" t="e">
        <f>IF(#REF!="","",IF(AND($CE516&gt;0,#REF!="MOURVEDRE N"),#REF!,0))</f>
        <v>#REF!</v>
      </c>
      <c r="CK516" s="7" t="e">
        <f>IF(#REF!="","",IF(AND($CE516&gt;0,#REF!="CARIGNAN N"),#REF!,0))</f>
        <v>#REF!</v>
      </c>
      <c r="CL516" s="7" t="e">
        <f>IF(#REF!="","",IF(AND($CE516&gt;0,#REF!="CABERNET SAUVIGNON N"),#REF!,0))</f>
        <v>#REF!</v>
      </c>
      <c r="CM516" s="7" t="e">
        <f>IF(#REF!="","",IF(AND($CE516&gt;0,#REF!="VERMENTINO B"),#REF!,0))</f>
        <v>#REF!</v>
      </c>
      <c r="CN516" s="7" t="e">
        <f>IF(#REF!="","",IF(AND($CE516&gt;0,#REF!="UGNI BLANC B"),#REF!,0))</f>
        <v>#REF!</v>
      </c>
      <c r="CO516" s="7" t="e">
        <f>IF(#REF!="","",IF(AND($CE516&gt;0,#REF!="CLAIRETTE B"),#REF!,0))</f>
        <v>#REF!</v>
      </c>
      <c r="CP516" s="7" t="e">
        <f>IF(#REF!="","",IF(AND($CE516&gt;0,#REF!="semillon B"),#REF!,0))</f>
        <v>#REF!</v>
      </c>
      <c r="CQ516" s="7" t="e">
        <f>IF(#REF!="","",IF(CE516=0,CC516,0))</f>
        <v>#REF!</v>
      </c>
      <c r="CR516" s="17"/>
      <c r="DE516"/>
    </row>
    <row r="517" spans="81:109" x14ac:dyDescent="0.25">
      <c r="CC517" s="7" t="e">
        <f>IF(#REF!="","",IF(#REF!="PF",#REF!,0))</f>
        <v>#REF!</v>
      </c>
      <c r="CD517" s="7" t="e">
        <f>IF(#REF!="","",IF(#REF!="PF",IF((#REF!+4)&lt;YEAR(#REF!),0,#REF!),0))</f>
        <v>#REF!</v>
      </c>
      <c r="CE517" s="7" t="e">
        <f>IF(#REF!="","",IF(AND(CD517&gt;0,#REF!&lt;&gt;""),CC517,0))</f>
        <v>#REF!</v>
      </c>
      <c r="CF517" s="7" t="e">
        <f>IF(#REF!="","",IF(AND($CE517&gt;0,#REF!= "GRENACHE N"),#REF!,0))</f>
        <v>#REF!</v>
      </c>
      <c r="CG517" s="7" t="e">
        <f>IF(#REF!="","",IF(AND($CE517&gt;0,#REF!="SYRAH N"),#REF!,0))</f>
        <v>#REF!</v>
      </c>
      <c r="CH517" s="7" t="e">
        <f>IF(#REF!="","",IF(AND($CE517&gt;0,#REF!="CINSAUT N"),#REF!,0))</f>
        <v>#REF!</v>
      </c>
      <c r="CI517" s="7" t="e">
        <f>IF(#REF!="","",IF(AND($CE517&gt;0,#REF!="TIBOUREN N"),#REF!,0))</f>
        <v>#REF!</v>
      </c>
      <c r="CJ517" s="7" t="e">
        <f>IF(#REF!="","",IF(AND($CE517&gt;0,#REF!="MOURVEDRE N"),#REF!,0))</f>
        <v>#REF!</v>
      </c>
      <c r="CK517" s="7" t="e">
        <f>IF(#REF!="","",IF(AND($CE517&gt;0,#REF!="CARIGNAN N"),#REF!,0))</f>
        <v>#REF!</v>
      </c>
      <c r="CL517" s="7" t="e">
        <f>IF(#REF!="","",IF(AND($CE517&gt;0,#REF!="CABERNET SAUVIGNON N"),#REF!,0))</f>
        <v>#REF!</v>
      </c>
      <c r="CM517" s="7" t="e">
        <f>IF(#REF!="","",IF(AND($CE517&gt;0,#REF!="VERMENTINO B"),#REF!,0))</f>
        <v>#REF!</v>
      </c>
      <c r="CN517" s="7" t="e">
        <f>IF(#REF!="","",IF(AND($CE517&gt;0,#REF!="UGNI BLANC B"),#REF!,0))</f>
        <v>#REF!</v>
      </c>
      <c r="CO517" s="7" t="e">
        <f>IF(#REF!="","",IF(AND($CE517&gt;0,#REF!="CLAIRETTE B"),#REF!,0))</f>
        <v>#REF!</v>
      </c>
      <c r="CP517" s="7" t="e">
        <f>IF(#REF!="","",IF(AND($CE517&gt;0,#REF!="semillon B"),#REF!,0))</f>
        <v>#REF!</v>
      </c>
      <c r="CQ517" s="7" t="e">
        <f>IF(#REF!="","",IF(CE517=0,CC517,0))</f>
        <v>#REF!</v>
      </c>
      <c r="CR517" s="17"/>
      <c r="DE517"/>
    </row>
    <row r="518" spans="81:109" x14ac:dyDescent="0.25">
      <c r="CC518" s="7" t="e">
        <f>IF(#REF!="","",IF(#REF!="PF",#REF!,0))</f>
        <v>#REF!</v>
      </c>
      <c r="CD518" s="7" t="e">
        <f>IF(#REF!="","",IF(#REF!="PF",IF((#REF!+4)&lt;YEAR(#REF!),0,#REF!),0))</f>
        <v>#REF!</v>
      </c>
      <c r="CE518" s="7" t="e">
        <f>IF(#REF!="","",IF(AND(CD518&gt;0,#REF!&lt;&gt;""),CC518,0))</f>
        <v>#REF!</v>
      </c>
      <c r="CF518" s="7" t="e">
        <f>IF(#REF!="","",IF(AND($CE518&gt;0,#REF!= "GRENACHE N"),#REF!,0))</f>
        <v>#REF!</v>
      </c>
      <c r="CG518" s="7" t="e">
        <f>IF(#REF!="","",IF(AND($CE518&gt;0,#REF!="SYRAH N"),#REF!,0))</f>
        <v>#REF!</v>
      </c>
      <c r="CH518" s="7" t="e">
        <f>IF(#REF!="","",IF(AND($CE518&gt;0,#REF!="CINSAUT N"),#REF!,0))</f>
        <v>#REF!</v>
      </c>
      <c r="CI518" s="7" t="e">
        <f>IF(#REF!="","",IF(AND($CE518&gt;0,#REF!="TIBOUREN N"),#REF!,0))</f>
        <v>#REF!</v>
      </c>
      <c r="CJ518" s="7" t="e">
        <f>IF(#REF!="","",IF(AND($CE518&gt;0,#REF!="MOURVEDRE N"),#REF!,0))</f>
        <v>#REF!</v>
      </c>
      <c r="CK518" s="7" t="e">
        <f>IF(#REF!="","",IF(AND($CE518&gt;0,#REF!="CARIGNAN N"),#REF!,0))</f>
        <v>#REF!</v>
      </c>
      <c r="CL518" s="7" t="e">
        <f>IF(#REF!="","",IF(AND($CE518&gt;0,#REF!="CABERNET SAUVIGNON N"),#REF!,0))</f>
        <v>#REF!</v>
      </c>
      <c r="CM518" s="7" t="e">
        <f>IF(#REF!="","",IF(AND($CE518&gt;0,#REF!="VERMENTINO B"),#REF!,0))</f>
        <v>#REF!</v>
      </c>
      <c r="CN518" s="7" t="e">
        <f>IF(#REF!="","",IF(AND($CE518&gt;0,#REF!="UGNI BLANC B"),#REF!,0))</f>
        <v>#REF!</v>
      </c>
      <c r="CO518" s="7" t="e">
        <f>IF(#REF!="","",IF(AND($CE518&gt;0,#REF!="CLAIRETTE B"),#REF!,0))</f>
        <v>#REF!</v>
      </c>
      <c r="CP518" s="7" t="e">
        <f>IF(#REF!="","",IF(AND($CE518&gt;0,#REF!="semillon B"),#REF!,0))</f>
        <v>#REF!</v>
      </c>
      <c r="CQ518" s="7" t="e">
        <f>IF(#REF!="","",IF(CE518=0,CC518,0))</f>
        <v>#REF!</v>
      </c>
      <c r="CR518" s="17"/>
      <c r="DE518"/>
    </row>
    <row r="519" spans="81:109" x14ac:dyDescent="0.25">
      <c r="CC519" s="7" t="e">
        <f>IF(#REF!="","",IF(#REF!="PF",#REF!,0))</f>
        <v>#REF!</v>
      </c>
      <c r="CD519" s="7" t="e">
        <f>IF(#REF!="","",IF(#REF!="PF",IF((#REF!+4)&lt;YEAR(#REF!),0,#REF!),0))</f>
        <v>#REF!</v>
      </c>
      <c r="CE519" s="7" t="e">
        <f>IF(#REF!="","",IF(AND(CD519&gt;0,#REF!&lt;&gt;""),CC519,0))</f>
        <v>#REF!</v>
      </c>
      <c r="CF519" s="7" t="e">
        <f>IF(#REF!="","",IF(AND($CE519&gt;0,#REF!= "GRENACHE N"),#REF!,0))</f>
        <v>#REF!</v>
      </c>
      <c r="CG519" s="7" t="e">
        <f>IF(#REF!="","",IF(AND($CE519&gt;0,#REF!="SYRAH N"),#REF!,0))</f>
        <v>#REF!</v>
      </c>
      <c r="CH519" s="7" t="e">
        <f>IF(#REF!="","",IF(AND($CE519&gt;0,#REF!="CINSAUT N"),#REF!,0))</f>
        <v>#REF!</v>
      </c>
      <c r="CI519" s="7" t="e">
        <f>IF(#REF!="","",IF(AND($CE519&gt;0,#REF!="TIBOUREN N"),#REF!,0))</f>
        <v>#REF!</v>
      </c>
      <c r="CJ519" s="7" t="e">
        <f>IF(#REF!="","",IF(AND($CE519&gt;0,#REF!="MOURVEDRE N"),#REF!,0))</f>
        <v>#REF!</v>
      </c>
      <c r="CK519" s="7" t="e">
        <f>IF(#REF!="","",IF(AND($CE519&gt;0,#REF!="CARIGNAN N"),#REF!,0))</f>
        <v>#REF!</v>
      </c>
      <c r="CL519" s="7" t="e">
        <f>IF(#REF!="","",IF(AND($CE519&gt;0,#REF!="CABERNET SAUVIGNON N"),#REF!,0))</f>
        <v>#REF!</v>
      </c>
      <c r="CM519" s="7" t="e">
        <f>IF(#REF!="","",IF(AND($CE519&gt;0,#REF!="VERMENTINO B"),#REF!,0))</f>
        <v>#REF!</v>
      </c>
      <c r="CN519" s="7" t="e">
        <f>IF(#REF!="","",IF(AND($CE519&gt;0,#REF!="UGNI BLANC B"),#REF!,0))</f>
        <v>#REF!</v>
      </c>
      <c r="CO519" s="7" t="e">
        <f>IF(#REF!="","",IF(AND($CE519&gt;0,#REF!="CLAIRETTE B"),#REF!,0))</f>
        <v>#REF!</v>
      </c>
      <c r="CP519" s="7" t="e">
        <f>IF(#REF!="","",IF(AND($CE519&gt;0,#REF!="semillon B"),#REF!,0))</f>
        <v>#REF!</v>
      </c>
      <c r="CQ519" s="7" t="e">
        <f>IF(#REF!="","",IF(CE519=0,CC519,0))</f>
        <v>#REF!</v>
      </c>
      <c r="CR519" s="17"/>
      <c r="DE519"/>
    </row>
    <row r="520" spans="81:109" x14ac:dyDescent="0.25">
      <c r="CC520" s="7" t="e">
        <f>IF(#REF!="","",IF(#REF!="PF",#REF!,0))</f>
        <v>#REF!</v>
      </c>
      <c r="CD520" s="7" t="e">
        <f>IF(#REF!="","",IF(#REF!="PF",IF((#REF!+4)&lt;YEAR(#REF!),0,#REF!),0))</f>
        <v>#REF!</v>
      </c>
      <c r="CE520" s="7" t="e">
        <f>IF(#REF!="","",IF(AND(CD520&gt;0,#REF!&lt;&gt;""),CC520,0))</f>
        <v>#REF!</v>
      </c>
      <c r="CF520" s="7" t="e">
        <f>IF(#REF!="","",IF(AND($CE520&gt;0,#REF!= "GRENACHE N"),#REF!,0))</f>
        <v>#REF!</v>
      </c>
      <c r="CG520" s="7" t="e">
        <f>IF(#REF!="","",IF(AND($CE520&gt;0,#REF!="SYRAH N"),#REF!,0))</f>
        <v>#REF!</v>
      </c>
      <c r="CH520" s="7" t="e">
        <f>IF(#REF!="","",IF(AND($CE520&gt;0,#REF!="CINSAUT N"),#REF!,0))</f>
        <v>#REF!</v>
      </c>
      <c r="CI520" s="7" t="e">
        <f>IF(#REF!="","",IF(AND($CE520&gt;0,#REF!="TIBOUREN N"),#REF!,0))</f>
        <v>#REF!</v>
      </c>
      <c r="CJ520" s="7" t="e">
        <f>IF(#REF!="","",IF(AND($CE520&gt;0,#REF!="MOURVEDRE N"),#REF!,0))</f>
        <v>#REF!</v>
      </c>
      <c r="CK520" s="7" t="e">
        <f>IF(#REF!="","",IF(AND($CE520&gt;0,#REF!="CARIGNAN N"),#REF!,0))</f>
        <v>#REF!</v>
      </c>
      <c r="CL520" s="7" t="e">
        <f>IF(#REF!="","",IF(AND($CE520&gt;0,#REF!="CABERNET SAUVIGNON N"),#REF!,0))</f>
        <v>#REF!</v>
      </c>
      <c r="CM520" s="7" t="e">
        <f>IF(#REF!="","",IF(AND($CE520&gt;0,#REF!="VERMENTINO B"),#REF!,0))</f>
        <v>#REF!</v>
      </c>
      <c r="CN520" s="7" t="e">
        <f>IF(#REF!="","",IF(AND($CE520&gt;0,#REF!="UGNI BLANC B"),#REF!,0))</f>
        <v>#REF!</v>
      </c>
      <c r="CO520" s="7" t="e">
        <f>IF(#REF!="","",IF(AND($CE520&gt;0,#REF!="CLAIRETTE B"),#REF!,0))</f>
        <v>#REF!</v>
      </c>
      <c r="CP520" s="7" t="e">
        <f>IF(#REF!="","",IF(AND($CE520&gt;0,#REF!="semillon B"),#REF!,0))</f>
        <v>#REF!</v>
      </c>
      <c r="CQ520" s="7" t="e">
        <f>IF(#REF!="","",IF(CE520=0,CC520,0))</f>
        <v>#REF!</v>
      </c>
      <c r="CR520" s="17"/>
      <c r="DE520"/>
    </row>
    <row r="521" spans="81:109" x14ac:dyDescent="0.25">
      <c r="CC521" s="7" t="e">
        <f>IF(#REF!="","",IF(#REF!="PF",#REF!,0))</f>
        <v>#REF!</v>
      </c>
      <c r="CD521" s="7" t="e">
        <f>IF(#REF!="","",IF(#REF!="PF",IF((#REF!+4)&lt;YEAR(#REF!),0,#REF!),0))</f>
        <v>#REF!</v>
      </c>
      <c r="CE521" s="7" t="e">
        <f>IF(#REF!="","",IF(AND(CD521&gt;0,#REF!&lt;&gt;""),CC521,0))</f>
        <v>#REF!</v>
      </c>
      <c r="CF521" s="7" t="e">
        <f>IF(#REF!="","",IF(AND($CE521&gt;0,#REF!= "GRENACHE N"),#REF!,0))</f>
        <v>#REF!</v>
      </c>
      <c r="CG521" s="7" t="e">
        <f>IF(#REF!="","",IF(AND($CE521&gt;0,#REF!="SYRAH N"),#REF!,0))</f>
        <v>#REF!</v>
      </c>
      <c r="CH521" s="7" t="e">
        <f>IF(#REF!="","",IF(AND($CE521&gt;0,#REF!="CINSAUT N"),#REF!,0))</f>
        <v>#REF!</v>
      </c>
      <c r="CI521" s="7" t="e">
        <f>IF(#REF!="","",IF(AND($CE521&gt;0,#REF!="TIBOUREN N"),#REF!,0))</f>
        <v>#REF!</v>
      </c>
      <c r="CJ521" s="7" t="e">
        <f>IF(#REF!="","",IF(AND($CE521&gt;0,#REF!="MOURVEDRE N"),#REF!,0))</f>
        <v>#REF!</v>
      </c>
      <c r="CK521" s="7" t="e">
        <f>IF(#REF!="","",IF(AND($CE521&gt;0,#REF!="CARIGNAN N"),#REF!,0))</f>
        <v>#REF!</v>
      </c>
      <c r="CL521" s="7" t="e">
        <f>IF(#REF!="","",IF(AND($CE521&gt;0,#REF!="CABERNET SAUVIGNON N"),#REF!,0))</f>
        <v>#REF!</v>
      </c>
      <c r="CM521" s="7" t="e">
        <f>IF(#REF!="","",IF(AND($CE521&gt;0,#REF!="VERMENTINO B"),#REF!,0))</f>
        <v>#REF!</v>
      </c>
      <c r="CN521" s="7" t="e">
        <f>IF(#REF!="","",IF(AND($CE521&gt;0,#REF!="UGNI BLANC B"),#REF!,0))</f>
        <v>#REF!</v>
      </c>
      <c r="CO521" s="7" t="e">
        <f>IF(#REF!="","",IF(AND($CE521&gt;0,#REF!="CLAIRETTE B"),#REF!,0))</f>
        <v>#REF!</v>
      </c>
      <c r="CP521" s="7" t="e">
        <f>IF(#REF!="","",IF(AND($CE521&gt;0,#REF!="semillon B"),#REF!,0))</f>
        <v>#REF!</v>
      </c>
      <c r="CQ521" s="7" t="e">
        <f>IF(#REF!="","",IF(CE521=0,CC521,0))</f>
        <v>#REF!</v>
      </c>
      <c r="CR521" s="17"/>
      <c r="DE521"/>
    </row>
    <row r="522" spans="81:109" x14ac:dyDescent="0.25">
      <c r="CC522" s="7" t="e">
        <f>IF(#REF!="","",IF(#REF!="PF",#REF!,0))</f>
        <v>#REF!</v>
      </c>
      <c r="CD522" s="7" t="e">
        <f>IF(#REF!="","",IF(#REF!="PF",IF((#REF!+4)&lt;YEAR(#REF!),0,#REF!),0))</f>
        <v>#REF!</v>
      </c>
      <c r="CE522" s="7" t="e">
        <f>IF(#REF!="","",IF(AND(CD522&gt;0,#REF!&lt;&gt;""),CC522,0))</f>
        <v>#REF!</v>
      </c>
      <c r="CF522" s="7" t="e">
        <f>IF(#REF!="","",IF(AND($CE522&gt;0,#REF!= "GRENACHE N"),#REF!,0))</f>
        <v>#REF!</v>
      </c>
      <c r="CG522" s="7" t="e">
        <f>IF(#REF!="","",IF(AND($CE522&gt;0,#REF!="SYRAH N"),#REF!,0))</f>
        <v>#REF!</v>
      </c>
      <c r="CH522" s="7" t="e">
        <f>IF(#REF!="","",IF(AND($CE522&gt;0,#REF!="CINSAUT N"),#REF!,0))</f>
        <v>#REF!</v>
      </c>
      <c r="CI522" s="7" t="e">
        <f>IF(#REF!="","",IF(AND($CE522&gt;0,#REF!="TIBOUREN N"),#REF!,0))</f>
        <v>#REF!</v>
      </c>
      <c r="CJ522" s="7" t="e">
        <f>IF(#REF!="","",IF(AND($CE522&gt;0,#REF!="MOURVEDRE N"),#REF!,0))</f>
        <v>#REF!</v>
      </c>
      <c r="CK522" s="7" t="e">
        <f>IF(#REF!="","",IF(AND($CE522&gt;0,#REF!="CARIGNAN N"),#REF!,0))</f>
        <v>#REF!</v>
      </c>
      <c r="CL522" s="7" t="e">
        <f>IF(#REF!="","",IF(AND($CE522&gt;0,#REF!="CABERNET SAUVIGNON N"),#REF!,0))</f>
        <v>#REF!</v>
      </c>
      <c r="CM522" s="7" t="e">
        <f>IF(#REF!="","",IF(AND($CE522&gt;0,#REF!="VERMENTINO B"),#REF!,0))</f>
        <v>#REF!</v>
      </c>
      <c r="CN522" s="7" t="e">
        <f>IF(#REF!="","",IF(AND($CE522&gt;0,#REF!="UGNI BLANC B"),#REF!,0))</f>
        <v>#REF!</v>
      </c>
      <c r="CO522" s="7" t="e">
        <f>IF(#REF!="","",IF(AND($CE522&gt;0,#REF!="CLAIRETTE B"),#REF!,0))</f>
        <v>#REF!</v>
      </c>
      <c r="CP522" s="7" t="e">
        <f>IF(#REF!="","",IF(AND($CE522&gt;0,#REF!="semillon B"),#REF!,0))</f>
        <v>#REF!</v>
      </c>
      <c r="CQ522" s="7" t="e">
        <f>IF(#REF!="","",IF(CE522=0,CC522,0))</f>
        <v>#REF!</v>
      </c>
      <c r="CR522" s="17"/>
      <c r="DE522"/>
    </row>
    <row r="523" spans="81:109" x14ac:dyDescent="0.25">
      <c r="CC523" s="7" t="e">
        <f>IF(#REF!="","",IF(#REF!="PF",#REF!,0))</f>
        <v>#REF!</v>
      </c>
      <c r="CD523" s="7" t="e">
        <f>IF(#REF!="","",IF(#REF!="PF",IF((#REF!+4)&lt;YEAR(#REF!),0,#REF!),0))</f>
        <v>#REF!</v>
      </c>
      <c r="CE523" s="7" t="e">
        <f>IF(#REF!="","",IF(AND(CD523&gt;0,#REF!&lt;&gt;""),CC523,0))</f>
        <v>#REF!</v>
      </c>
      <c r="CF523" s="7" t="e">
        <f>IF(#REF!="","",IF(AND($CE523&gt;0,#REF!= "GRENACHE N"),#REF!,0))</f>
        <v>#REF!</v>
      </c>
      <c r="CG523" s="7" t="e">
        <f>IF(#REF!="","",IF(AND($CE523&gt;0,#REF!="SYRAH N"),#REF!,0))</f>
        <v>#REF!</v>
      </c>
      <c r="CH523" s="7" t="e">
        <f>IF(#REF!="","",IF(AND($CE523&gt;0,#REF!="CINSAUT N"),#REF!,0))</f>
        <v>#REF!</v>
      </c>
      <c r="CI523" s="7" t="e">
        <f>IF(#REF!="","",IF(AND($CE523&gt;0,#REF!="TIBOUREN N"),#REF!,0))</f>
        <v>#REF!</v>
      </c>
      <c r="CJ523" s="7" t="e">
        <f>IF(#REF!="","",IF(AND($CE523&gt;0,#REF!="MOURVEDRE N"),#REF!,0))</f>
        <v>#REF!</v>
      </c>
      <c r="CK523" s="7" t="e">
        <f>IF(#REF!="","",IF(AND($CE523&gt;0,#REF!="CARIGNAN N"),#REF!,0))</f>
        <v>#REF!</v>
      </c>
      <c r="CL523" s="7" t="e">
        <f>IF(#REF!="","",IF(AND($CE523&gt;0,#REF!="CABERNET SAUVIGNON N"),#REF!,0))</f>
        <v>#REF!</v>
      </c>
      <c r="CM523" s="7" t="e">
        <f>IF(#REF!="","",IF(AND($CE523&gt;0,#REF!="VERMENTINO B"),#REF!,0))</f>
        <v>#REF!</v>
      </c>
      <c r="CN523" s="7" t="e">
        <f>IF(#REF!="","",IF(AND($CE523&gt;0,#REF!="UGNI BLANC B"),#REF!,0))</f>
        <v>#REF!</v>
      </c>
      <c r="CO523" s="7" t="e">
        <f>IF(#REF!="","",IF(AND($CE523&gt;0,#REF!="CLAIRETTE B"),#REF!,0))</f>
        <v>#REF!</v>
      </c>
      <c r="CP523" s="7" t="e">
        <f>IF(#REF!="","",IF(AND($CE523&gt;0,#REF!="semillon B"),#REF!,0))</f>
        <v>#REF!</v>
      </c>
      <c r="CQ523" s="7" t="e">
        <f>IF(#REF!="","",IF(CE523=0,CC523,0))</f>
        <v>#REF!</v>
      </c>
      <c r="CR523" s="17"/>
      <c r="DE523"/>
    </row>
    <row r="524" spans="81:109" x14ac:dyDescent="0.25">
      <c r="CC524" s="7" t="e">
        <f>IF(#REF!="","",IF(#REF!="PF",#REF!,0))</f>
        <v>#REF!</v>
      </c>
      <c r="CD524" s="7" t="e">
        <f>IF(#REF!="","",IF(#REF!="PF",IF((#REF!+4)&lt;YEAR(#REF!),0,#REF!),0))</f>
        <v>#REF!</v>
      </c>
      <c r="CE524" s="7" t="e">
        <f>IF(#REF!="","",IF(AND(CD524&gt;0,#REF!&lt;&gt;""),CC524,0))</f>
        <v>#REF!</v>
      </c>
      <c r="CF524" s="7" t="e">
        <f>IF(#REF!="","",IF(AND($CE524&gt;0,#REF!= "GRENACHE N"),#REF!,0))</f>
        <v>#REF!</v>
      </c>
      <c r="CG524" s="7" t="e">
        <f>IF(#REF!="","",IF(AND($CE524&gt;0,#REF!="SYRAH N"),#REF!,0))</f>
        <v>#REF!</v>
      </c>
      <c r="CH524" s="7" t="e">
        <f>IF(#REF!="","",IF(AND($CE524&gt;0,#REF!="CINSAUT N"),#REF!,0))</f>
        <v>#REF!</v>
      </c>
      <c r="CI524" s="7" t="e">
        <f>IF(#REF!="","",IF(AND($CE524&gt;0,#REF!="TIBOUREN N"),#REF!,0))</f>
        <v>#REF!</v>
      </c>
      <c r="CJ524" s="7" t="e">
        <f>IF(#REF!="","",IF(AND($CE524&gt;0,#REF!="MOURVEDRE N"),#REF!,0))</f>
        <v>#REF!</v>
      </c>
      <c r="CK524" s="7" t="e">
        <f>IF(#REF!="","",IF(AND($CE524&gt;0,#REF!="CARIGNAN N"),#REF!,0))</f>
        <v>#REF!</v>
      </c>
      <c r="CL524" s="7" t="e">
        <f>IF(#REF!="","",IF(AND($CE524&gt;0,#REF!="CABERNET SAUVIGNON N"),#REF!,0))</f>
        <v>#REF!</v>
      </c>
      <c r="CM524" s="7" t="e">
        <f>IF(#REF!="","",IF(AND($CE524&gt;0,#REF!="VERMENTINO B"),#REF!,0))</f>
        <v>#REF!</v>
      </c>
      <c r="CN524" s="7" t="e">
        <f>IF(#REF!="","",IF(AND($CE524&gt;0,#REF!="UGNI BLANC B"),#REF!,0))</f>
        <v>#REF!</v>
      </c>
      <c r="CO524" s="7" t="e">
        <f>IF(#REF!="","",IF(AND($CE524&gt;0,#REF!="CLAIRETTE B"),#REF!,0))</f>
        <v>#REF!</v>
      </c>
      <c r="CP524" s="7" t="e">
        <f>IF(#REF!="","",IF(AND($CE524&gt;0,#REF!="semillon B"),#REF!,0))</f>
        <v>#REF!</v>
      </c>
      <c r="CQ524" s="7" t="e">
        <f>IF(#REF!="","",IF(CE524=0,CC524,0))</f>
        <v>#REF!</v>
      </c>
      <c r="CR524" s="17"/>
      <c r="DE524"/>
    </row>
    <row r="525" spans="81:109" x14ac:dyDescent="0.25">
      <c r="CC525" s="7" t="e">
        <f>IF(#REF!="","",IF(#REF!="PF",#REF!,0))</f>
        <v>#REF!</v>
      </c>
      <c r="CD525" s="7" t="e">
        <f>IF(#REF!="","",IF(#REF!="PF",IF((#REF!+4)&lt;YEAR(#REF!),0,#REF!),0))</f>
        <v>#REF!</v>
      </c>
      <c r="CE525" s="7" t="e">
        <f>IF(#REF!="","",IF(AND(CD525&gt;0,#REF!&lt;&gt;""),CC525,0))</f>
        <v>#REF!</v>
      </c>
      <c r="CF525" s="7" t="e">
        <f>IF(#REF!="","",IF(AND($CE525&gt;0,#REF!= "GRENACHE N"),#REF!,0))</f>
        <v>#REF!</v>
      </c>
      <c r="CG525" s="7" t="e">
        <f>IF(#REF!="","",IF(AND($CE525&gt;0,#REF!="SYRAH N"),#REF!,0))</f>
        <v>#REF!</v>
      </c>
      <c r="CH525" s="7" t="e">
        <f>IF(#REF!="","",IF(AND($CE525&gt;0,#REF!="CINSAUT N"),#REF!,0))</f>
        <v>#REF!</v>
      </c>
      <c r="CI525" s="7" t="e">
        <f>IF(#REF!="","",IF(AND($CE525&gt;0,#REF!="TIBOUREN N"),#REF!,0))</f>
        <v>#REF!</v>
      </c>
      <c r="CJ525" s="7" t="e">
        <f>IF(#REF!="","",IF(AND($CE525&gt;0,#REF!="MOURVEDRE N"),#REF!,0))</f>
        <v>#REF!</v>
      </c>
      <c r="CK525" s="7" t="e">
        <f>IF(#REF!="","",IF(AND($CE525&gt;0,#REF!="CARIGNAN N"),#REF!,0))</f>
        <v>#REF!</v>
      </c>
      <c r="CL525" s="7" t="e">
        <f>IF(#REF!="","",IF(AND($CE525&gt;0,#REF!="CABERNET SAUVIGNON N"),#REF!,0))</f>
        <v>#REF!</v>
      </c>
      <c r="CM525" s="7" t="e">
        <f>IF(#REF!="","",IF(AND($CE525&gt;0,#REF!="VERMENTINO B"),#REF!,0))</f>
        <v>#REF!</v>
      </c>
      <c r="CN525" s="7" t="e">
        <f>IF(#REF!="","",IF(AND($CE525&gt;0,#REF!="UGNI BLANC B"),#REF!,0))</f>
        <v>#REF!</v>
      </c>
      <c r="CO525" s="7" t="e">
        <f>IF(#REF!="","",IF(AND($CE525&gt;0,#REF!="CLAIRETTE B"),#REF!,0))</f>
        <v>#REF!</v>
      </c>
      <c r="CP525" s="7" t="e">
        <f>IF(#REF!="","",IF(AND($CE525&gt;0,#REF!="semillon B"),#REF!,0))</f>
        <v>#REF!</v>
      </c>
      <c r="CQ525" s="7" t="e">
        <f>IF(#REF!="","",IF(CE525=0,CC525,0))</f>
        <v>#REF!</v>
      </c>
      <c r="CR525" s="17"/>
      <c r="DE525"/>
    </row>
  </sheetData>
  <sheetProtection algorithmName="SHA-512" hashValue="kShr9RUAMXL96XechWd2WUt0TPUC1UqQvDM+aW9XJ77TPZ7KFMBoEHrmRrYBq26JZ9DEqeIpDGMIC8vnR3q3rg==" saltValue="YQjKNJTI0IksTTvLcGwFjQ==" spinCount="100000" sheet="1" objects="1" scenarios="1"/>
  <mergeCells count="433">
    <mergeCell ref="CZ27:DA27"/>
    <mergeCell ref="CZ25:DA25"/>
    <mergeCell ref="CZ35:DA35"/>
    <mergeCell ref="CW35:CY35"/>
    <mergeCell ref="CW34:CY34"/>
    <mergeCell ref="AQ24:AX24"/>
    <mergeCell ref="AQ36:AU36"/>
    <mergeCell ref="AV36:AX36"/>
    <mergeCell ref="BT38:BV38"/>
    <mergeCell ref="CW38:CY38"/>
    <mergeCell ref="BT37:BV37"/>
    <mergeCell ref="BQ24:BU24"/>
    <mergeCell ref="BV24:BX24"/>
    <mergeCell ref="CV23:CV24"/>
    <mergeCell ref="CW23:CW24"/>
    <mergeCell ref="CX23:CX24"/>
    <mergeCell ref="CY23:CY24"/>
    <mergeCell ref="BJ25:BK26"/>
    <mergeCell ref="BT23:BV23"/>
    <mergeCell ref="BW23:BX23"/>
    <mergeCell ref="CU23:CU24"/>
    <mergeCell ref="CZ23:DA24"/>
    <mergeCell ref="CW40:CY40"/>
    <mergeCell ref="CW41:CY41"/>
    <mergeCell ref="CZ41:DA41"/>
    <mergeCell ref="BT42:BV42"/>
    <mergeCell ref="BT43:BV43"/>
    <mergeCell ref="BW43:BX43"/>
    <mergeCell ref="CT43:CX43"/>
    <mergeCell ref="CY43:DA43"/>
    <mergeCell ref="CZ37:DA37"/>
    <mergeCell ref="AE52:AI52"/>
    <mergeCell ref="AE51:AI51"/>
    <mergeCell ref="AJ35:AL35"/>
    <mergeCell ref="AE35:AI35"/>
    <mergeCell ref="BG39:BI39"/>
    <mergeCell ref="CW39:CY39"/>
    <mergeCell ref="D27:H27"/>
    <mergeCell ref="I27:K27"/>
    <mergeCell ref="D26:H26"/>
    <mergeCell ref="I26:K26"/>
    <mergeCell ref="BG52:BI52"/>
    <mergeCell ref="O30:Q30"/>
    <mergeCell ref="R30:S30"/>
    <mergeCell ref="AH44:AJ44"/>
    <mergeCell ref="AK44:AL44"/>
    <mergeCell ref="BW37:BX37"/>
    <mergeCell ref="CW37:CY37"/>
    <mergeCell ref="AE50:AI50"/>
    <mergeCell ref="AJ50:AL50"/>
    <mergeCell ref="AW27:AX27"/>
    <mergeCell ref="AR25:AR26"/>
    <mergeCell ref="AQ25:AQ26"/>
    <mergeCell ref="AJ36:AL36"/>
    <mergeCell ref="AE36:AI36"/>
    <mergeCell ref="R23:S23"/>
    <mergeCell ref="I13:K13"/>
    <mergeCell ref="I12:K12"/>
    <mergeCell ref="D13:H13"/>
    <mergeCell ref="D12:H12"/>
    <mergeCell ref="D23:K24"/>
    <mergeCell ref="O33:V34"/>
    <mergeCell ref="R36:T36"/>
    <mergeCell ref="D19:H19"/>
    <mergeCell ref="D20:H20"/>
    <mergeCell ref="I19:K19"/>
    <mergeCell ref="I20:K20"/>
    <mergeCell ref="O29:Q29"/>
    <mergeCell ref="R29:S29"/>
    <mergeCell ref="D14:H14"/>
    <mergeCell ref="I14:K14"/>
    <mergeCell ref="D25:H25"/>
    <mergeCell ref="I25:K25"/>
    <mergeCell ref="O21:Q21"/>
    <mergeCell ref="O18:Q18"/>
    <mergeCell ref="R18:S18"/>
    <mergeCell ref="O19:Q19"/>
    <mergeCell ref="R19:S19"/>
    <mergeCell ref="R21:S21"/>
    <mergeCell ref="BW18:BX18"/>
    <mergeCell ref="CT18:CX18"/>
    <mergeCell ref="CY18:DA18"/>
    <mergeCell ref="AQ19:AU19"/>
    <mergeCell ref="AV19:AX19"/>
    <mergeCell ref="BT22:BV22"/>
    <mergeCell ref="BW22:BX22"/>
    <mergeCell ref="CT22:DA22"/>
    <mergeCell ref="CT20:DA21"/>
    <mergeCell ref="CW12:CY12"/>
    <mergeCell ref="CZ12:DA12"/>
    <mergeCell ref="R22:S22"/>
    <mergeCell ref="AK20:AL20"/>
    <mergeCell ref="AH21:AJ21"/>
    <mergeCell ref="AK21:AL21"/>
    <mergeCell ref="BI20:BK20"/>
    <mergeCell ref="BW20:BX20"/>
    <mergeCell ref="BD19:BH19"/>
    <mergeCell ref="BI19:BK19"/>
    <mergeCell ref="AQ20:AU20"/>
    <mergeCell ref="AV20:AX20"/>
    <mergeCell ref="BD20:BH20"/>
    <mergeCell ref="BT20:BV20"/>
    <mergeCell ref="BT21:BV21"/>
    <mergeCell ref="AQ22:AX23"/>
    <mergeCell ref="CZ15:DA15"/>
    <mergeCell ref="AT16:AV16"/>
    <mergeCell ref="BG15:BI15"/>
    <mergeCell ref="BJ15:BK15"/>
    <mergeCell ref="BT16:BV16"/>
    <mergeCell ref="BW16:BX16"/>
    <mergeCell ref="BT19:BV19"/>
    <mergeCell ref="CT17:CX17"/>
    <mergeCell ref="AK17:AL17"/>
    <mergeCell ref="AH17:AJ17"/>
    <mergeCell ref="BG17:BI17"/>
    <mergeCell ref="AT17:AV17"/>
    <mergeCell ref="CZ13:DA13"/>
    <mergeCell ref="BT15:BV15"/>
    <mergeCell ref="CW15:CY15"/>
    <mergeCell ref="CW14:CY14"/>
    <mergeCell ref="AH15:AJ15"/>
    <mergeCell ref="AK15:AL15"/>
    <mergeCell ref="AT15:AV15"/>
    <mergeCell ref="AH14:AJ14"/>
    <mergeCell ref="AK14:AL14"/>
    <mergeCell ref="AT14:AV14"/>
    <mergeCell ref="AT13:AV13"/>
    <mergeCell ref="AW13:AX13"/>
    <mergeCell ref="BT13:BV13"/>
    <mergeCell ref="BW13:BX13"/>
    <mergeCell ref="CW13:CY13"/>
    <mergeCell ref="CY17:DA17"/>
    <mergeCell ref="BJ17:BK17"/>
    <mergeCell ref="AW17:AX17"/>
    <mergeCell ref="A11:B11"/>
    <mergeCell ref="D8:K9"/>
    <mergeCell ref="O16:Q16"/>
    <mergeCell ref="R16:S16"/>
    <mergeCell ref="BT14:BV14"/>
    <mergeCell ref="BW14:BX14"/>
    <mergeCell ref="AW14:AX14"/>
    <mergeCell ref="BG14:BI14"/>
    <mergeCell ref="O9:Q9"/>
    <mergeCell ref="R9:S9"/>
    <mergeCell ref="O10:Q10"/>
    <mergeCell ref="R10:S10"/>
    <mergeCell ref="O12:Q12"/>
    <mergeCell ref="R12:S12"/>
    <mergeCell ref="O13:Q13"/>
    <mergeCell ref="R13:S13"/>
    <mergeCell ref="O15:Q15"/>
    <mergeCell ref="R15:S15"/>
    <mergeCell ref="BT12:BV12"/>
    <mergeCell ref="BW12:BX12"/>
    <mergeCell ref="O6:Q6"/>
    <mergeCell ref="R6:S6"/>
    <mergeCell ref="AE11:AF11"/>
    <mergeCell ref="AH11:AJ11"/>
    <mergeCell ref="AK11:AL11"/>
    <mergeCell ref="AQ11:AR11"/>
    <mergeCell ref="AT11:AV11"/>
    <mergeCell ref="AW11:AX11"/>
    <mergeCell ref="BW6:BX6"/>
    <mergeCell ref="O7:Q7"/>
    <mergeCell ref="R7:S7"/>
    <mergeCell ref="BW8:BX8"/>
    <mergeCell ref="AS9:AV9"/>
    <mergeCell ref="T48:U48"/>
    <mergeCell ref="AK7:AL7"/>
    <mergeCell ref="AW7:AX7"/>
    <mergeCell ref="BJ7:BK7"/>
    <mergeCell ref="BW7:BX7"/>
    <mergeCell ref="CX8:CY8"/>
    <mergeCell ref="CZ8:DA8"/>
    <mergeCell ref="AK9:AL9"/>
    <mergeCell ref="CW9:CY9"/>
    <mergeCell ref="CZ9:DA9"/>
    <mergeCell ref="AK8:AL8"/>
    <mergeCell ref="AW8:AX8"/>
    <mergeCell ref="BH8:BI8"/>
    <mergeCell ref="BT10:BV10"/>
    <mergeCell ref="BW10:BX10"/>
    <mergeCell ref="CW10:CY10"/>
    <mergeCell ref="BT11:BV11"/>
    <mergeCell ref="CW11:CY11"/>
    <mergeCell ref="CZ11:DA11"/>
    <mergeCell ref="AH12:AJ12"/>
    <mergeCell ref="AE34:AI34"/>
    <mergeCell ref="AK12:AL12"/>
    <mergeCell ref="AJ34:AL34"/>
    <mergeCell ref="AH26:AJ26"/>
    <mergeCell ref="O23:Q23"/>
    <mergeCell ref="AW15:AX15"/>
    <mergeCell ref="AH23:AJ23"/>
    <mergeCell ref="AK23:AL23"/>
    <mergeCell ref="BG55:BI55"/>
    <mergeCell ref="BG53:BI53"/>
    <mergeCell ref="BQ1:BX2"/>
    <mergeCell ref="CT1:DA2"/>
    <mergeCell ref="AE3:AL3"/>
    <mergeCell ref="AQ3:AX3"/>
    <mergeCell ref="BD3:BK3"/>
    <mergeCell ref="BQ3:BX3"/>
    <mergeCell ref="CT3:DA3"/>
    <mergeCell ref="T45:U45"/>
    <mergeCell ref="AK4:AL4"/>
    <mergeCell ref="AW4:AX4"/>
    <mergeCell ref="BJ4:BK4"/>
    <mergeCell ref="BW4:BX4"/>
    <mergeCell ref="CZ4:DA4"/>
    <mergeCell ref="BW5:BX5"/>
    <mergeCell ref="CZ5:DA5"/>
    <mergeCell ref="CZ7:DA7"/>
    <mergeCell ref="T47:U47"/>
    <mergeCell ref="CZ6:DA6"/>
    <mergeCell ref="BG57:BI57"/>
    <mergeCell ref="BJ57:BK57"/>
    <mergeCell ref="AE1:AL2"/>
    <mergeCell ref="AQ1:AX2"/>
    <mergeCell ref="BD1:BK2"/>
    <mergeCell ref="T46:U46"/>
    <mergeCell ref="AK5:AL5"/>
    <mergeCell ref="AW5:AX5"/>
    <mergeCell ref="BJ5:BK5"/>
    <mergeCell ref="BJ8:BK8"/>
    <mergeCell ref="BD10:BE10"/>
    <mergeCell ref="BG10:BI10"/>
    <mergeCell ref="BJ10:BK10"/>
    <mergeCell ref="BG13:BI13"/>
    <mergeCell ref="BJ13:BK13"/>
    <mergeCell ref="BG16:BI16"/>
    <mergeCell ref="AK6:AL6"/>
    <mergeCell ref="AW6:AX6"/>
    <mergeCell ref="BJ6:BK6"/>
    <mergeCell ref="T50:U50"/>
    <mergeCell ref="T49:U49"/>
    <mergeCell ref="AT12:AV12"/>
    <mergeCell ref="BG11:BI11"/>
    <mergeCell ref="BJ11:BK11"/>
    <mergeCell ref="BD62:BH62"/>
    <mergeCell ref="BI62:BK62"/>
    <mergeCell ref="BG86:BI86"/>
    <mergeCell ref="BJ86:BK86"/>
    <mergeCell ref="BD63:BH63"/>
    <mergeCell ref="BI63:BK63"/>
    <mergeCell ref="BG84:BI84"/>
    <mergeCell ref="BJ84:BK84"/>
    <mergeCell ref="BG85:BI85"/>
    <mergeCell ref="DG1:DN2"/>
    <mergeCell ref="DG3:DN3"/>
    <mergeCell ref="DM4:DN4"/>
    <mergeCell ref="DM5:DN5"/>
    <mergeCell ref="DM6:DN6"/>
    <mergeCell ref="DM7:DN7"/>
    <mergeCell ref="DM8:DN8"/>
    <mergeCell ref="DJ10:DL10"/>
    <mergeCell ref="DM10:DN10"/>
    <mergeCell ref="DJ11:DL11"/>
    <mergeCell ref="DJ12:DL12"/>
    <mergeCell ref="DM12:DN12"/>
    <mergeCell ref="DJ13:DL13"/>
    <mergeCell ref="DM13:DN13"/>
    <mergeCell ref="DJ14:DL14"/>
    <mergeCell ref="DM14:DN14"/>
    <mergeCell ref="DJ15:DL15"/>
    <mergeCell ref="DJ16:DL16"/>
    <mergeCell ref="DM16:DN16"/>
    <mergeCell ref="DJ23:DL23"/>
    <mergeCell ref="DM23:DN23"/>
    <mergeCell ref="DJ18:DL18"/>
    <mergeCell ref="DM18:DN18"/>
    <mergeCell ref="DJ19:DL19"/>
    <mergeCell ref="DJ20:DL20"/>
    <mergeCell ref="DM20:DN20"/>
    <mergeCell ref="DJ21:DL21"/>
    <mergeCell ref="DJ22:DL22"/>
    <mergeCell ref="DM22:DN22"/>
    <mergeCell ref="DJ43:DL43"/>
    <mergeCell ref="DM43:DN43"/>
    <mergeCell ref="DJ44:DL44"/>
    <mergeCell ref="DJ45:DL45"/>
    <mergeCell ref="DM45:DN45"/>
    <mergeCell ref="DJ38:DL38"/>
    <mergeCell ref="DJ39:DL39"/>
    <mergeCell ref="DM39:DN39"/>
    <mergeCell ref="DG24:DK24"/>
    <mergeCell ref="DL24:DN24"/>
    <mergeCell ref="DG25:DK25"/>
    <mergeCell ref="DL25:DN25"/>
    <mergeCell ref="DG27:DN28"/>
    <mergeCell ref="DG29:DN29"/>
    <mergeCell ref="DG30:DG31"/>
    <mergeCell ref="DH30:DH31"/>
    <mergeCell ref="DI30:DI31"/>
    <mergeCell ref="DJ30:DJ31"/>
    <mergeCell ref="DK30:DK31"/>
    <mergeCell ref="DL30:DL31"/>
    <mergeCell ref="DM30:DN31"/>
    <mergeCell ref="DJ37:DL37"/>
    <mergeCell ref="DM37:DN37"/>
    <mergeCell ref="DJ40:DL40"/>
    <mergeCell ref="DG52:DK52"/>
    <mergeCell ref="DL52:DN52"/>
    <mergeCell ref="DG53:DK53"/>
    <mergeCell ref="DL53:DN53"/>
    <mergeCell ref="DG54:DK54"/>
    <mergeCell ref="DL54:DN54"/>
    <mergeCell ref="DJ46:DL46"/>
    <mergeCell ref="DM46:DN46"/>
    <mergeCell ref="DJ47:DL47"/>
    <mergeCell ref="DM47:DN47"/>
    <mergeCell ref="DJ48:DL48"/>
    <mergeCell ref="DJ49:DL49"/>
    <mergeCell ref="DM49:DN49"/>
    <mergeCell ref="DJ50:DL50"/>
    <mergeCell ref="DJ51:DL51"/>
    <mergeCell ref="DM51:DN51"/>
    <mergeCell ref="DM40:DN40"/>
    <mergeCell ref="DJ41:DL41"/>
    <mergeCell ref="DM41:DN41"/>
    <mergeCell ref="DJ42:DL42"/>
    <mergeCell ref="BH25:BH26"/>
    <mergeCell ref="BI25:BI26"/>
    <mergeCell ref="AW25:AX26"/>
    <mergeCell ref="AV35:AX35"/>
    <mergeCell ref="AQ35:AU35"/>
    <mergeCell ref="BG36:BI36"/>
    <mergeCell ref="BG35:BI35"/>
    <mergeCell ref="BG34:BI34"/>
    <mergeCell ref="BF25:BF26"/>
    <mergeCell ref="BW41:BX41"/>
    <mergeCell ref="BW39:BX39"/>
    <mergeCell ref="CZ31:DA31"/>
    <mergeCell ref="CW31:CY31"/>
    <mergeCell ref="CW30:CY30"/>
    <mergeCell ref="CZ33:DA33"/>
    <mergeCell ref="CW33:CY33"/>
    <mergeCell ref="BG25:BG26"/>
    <mergeCell ref="CZ39:DA39"/>
    <mergeCell ref="BT40:BV40"/>
    <mergeCell ref="BW40:BX40"/>
    <mergeCell ref="AH27:AJ27"/>
    <mergeCell ref="AK27:AL27"/>
    <mergeCell ref="AK26:AL26"/>
    <mergeCell ref="AH28:AJ28"/>
    <mergeCell ref="AK28:AL28"/>
    <mergeCell ref="BD25:BD26"/>
    <mergeCell ref="BE25:BE26"/>
    <mergeCell ref="BG56:BI56"/>
    <mergeCell ref="BV52:BX52"/>
    <mergeCell ref="BQ52:BU52"/>
    <mergeCell ref="BV54:BX54"/>
    <mergeCell ref="BQ54:BU54"/>
    <mergeCell ref="BV53:BX53"/>
    <mergeCell ref="BQ53:BU53"/>
    <mergeCell ref="BW51:BX51"/>
    <mergeCell ref="AJ52:AL52"/>
    <mergeCell ref="BD50:BD51"/>
    <mergeCell ref="BE50:BE51"/>
    <mergeCell ref="BF50:BF51"/>
    <mergeCell ref="AJ51:AL51"/>
    <mergeCell ref="AQ50:AR50"/>
    <mergeCell ref="BW49:BX49"/>
    <mergeCell ref="BW47:BX47"/>
    <mergeCell ref="BW46:BX46"/>
    <mergeCell ref="BW45:BX45"/>
    <mergeCell ref="CY44:DA44"/>
    <mergeCell ref="CT44:CX44"/>
    <mergeCell ref="BT44:BV44"/>
    <mergeCell ref="BT51:BV51"/>
    <mergeCell ref="BT50:BV50"/>
    <mergeCell ref="BT49:BV49"/>
    <mergeCell ref="BT48:BV48"/>
    <mergeCell ref="BT47:BV47"/>
    <mergeCell ref="BT46:BV46"/>
    <mergeCell ref="BT45:BV45"/>
    <mergeCell ref="BD47:BK48"/>
    <mergeCell ref="BD49:BK49"/>
    <mergeCell ref="BD45:BH45"/>
    <mergeCell ref="BD44:BH44"/>
    <mergeCell ref="BI44:BK44"/>
    <mergeCell ref="BI45:BK45"/>
    <mergeCell ref="AK43:AL43"/>
    <mergeCell ref="AH43:AJ43"/>
    <mergeCell ref="AH42:AJ42"/>
    <mergeCell ref="AE39:AL40"/>
    <mergeCell ref="BG42:BI42"/>
    <mergeCell ref="BG40:BI40"/>
    <mergeCell ref="BG38:BI38"/>
    <mergeCell ref="BT41:BV41"/>
    <mergeCell ref="BT39:BV39"/>
    <mergeCell ref="AF42:AG42"/>
    <mergeCell ref="BG41:BI41"/>
    <mergeCell ref="CT23:CT24"/>
    <mergeCell ref="AW33:AX33"/>
    <mergeCell ref="AW31:AX31"/>
    <mergeCell ref="AT33:AV33"/>
    <mergeCell ref="AT32:AV32"/>
    <mergeCell ref="AT31:AV31"/>
    <mergeCell ref="BS30:BS31"/>
    <mergeCell ref="BR30:BR31"/>
    <mergeCell ref="BQ30:BQ31"/>
    <mergeCell ref="BW30:BX31"/>
    <mergeCell ref="BV30:BV31"/>
    <mergeCell ref="BU30:BU31"/>
    <mergeCell ref="BT30:BT31"/>
    <mergeCell ref="BG32:BI32"/>
    <mergeCell ref="BG30:BI30"/>
    <mergeCell ref="BG31:BI31"/>
    <mergeCell ref="D17:K17"/>
    <mergeCell ref="CZ29:DA29"/>
    <mergeCell ref="CZ26:DA26"/>
    <mergeCell ref="CZ28:DA28"/>
    <mergeCell ref="AK24:AL24"/>
    <mergeCell ref="AH24:AJ24"/>
    <mergeCell ref="BD24:BK24"/>
    <mergeCell ref="BD22:BK23"/>
    <mergeCell ref="AH20:AJ20"/>
    <mergeCell ref="BT18:BV18"/>
    <mergeCell ref="AK18:AL18"/>
    <mergeCell ref="AH18:AJ18"/>
    <mergeCell ref="CW29:CY29"/>
    <mergeCell ref="BQ27:BX28"/>
    <mergeCell ref="BQ29:BX29"/>
    <mergeCell ref="AW29:AX29"/>
    <mergeCell ref="AW28:AX28"/>
    <mergeCell ref="AV25:AV26"/>
    <mergeCell ref="AU25:AU26"/>
    <mergeCell ref="AT25:AT26"/>
    <mergeCell ref="AS25:AS26"/>
    <mergeCell ref="BV25:BX25"/>
    <mergeCell ref="BQ25:BU25"/>
    <mergeCell ref="O22:Q22"/>
  </mergeCells>
  <conditionalFormatting sqref="A16 A32 CT34 BD35">
    <cfRule type="cellIs" dxfId="39" priority="33" stopIfTrue="1" operator="notEqual">
      <formula>0</formula>
    </cfRule>
  </conditionalFormatting>
  <conditionalFormatting sqref="A19">
    <cfRule type="cellIs" dxfId="38" priority="6" stopIfTrue="1" operator="notEqual">
      <formula>0</formula>
    </cfRule>
  </conditionalFormatting>
  <conditionalFormatting sqref="A26">
    <cfRule type="cellIs" dxfId="37" priority="7" stopIfTrue="1" operator="notEqual">
      <formula>0</formula>
    </cfRule>
  </conditionalFormatting>
  <conditionalFormatting sqref="O42">
    <cfRule type="cellIs" dxfId="36" priority="8" stopIfTrue="1" operator="notEqual">
      <formula>0</formula>
    </cfRule>
  </conditionalFormatting>
  <conditionalFormatting sqref="AE16 AE31">
    <cfRule type="cellIs" dxfId="35" priority="5" stopIfTrue="1" operator="notEqual">
      <formula>0</formula>
    </cfRule>
  </conditionalFormatting>
  <conditionalFormatting sqref="AE19">
    <cfRule type="cellIs" dxfId="34" priority="1" stopIfTrue="1" operator="notEqual">
      <formula>0</formula>
    </cfRule>
  </conditionalFormatting>
  <conditionalFormatting sqref="AE25">
    <cfRule type="cellIs" dxfId="33" priority="2" stopIfTrue="1" operator="notEqual">
      <formula>0</formula>
    </cfRule>
  </conditionalFormatting>
  <conditionalFormatting sqref="AE48">
    <cfRule type="cellIs" dxfId="32" priority="3" stopIfTrue="1" operator="notEqual">
      <formula>0</formula>
    </cfRule>
  </conditionalFormatting>
  <conditionalFormatting sqref="AI5:AI9">
    <cfRule type="cellIs" dxfId="31" priority="4" stopIfTrue="1" operator="greaterThan">
      <formula>0.9</formula>
    </cfRule>
  </conditionalFormatting>
  <conditionalFormatting sqref="AQ13">
    <cfRule type="cellIs" dxfId="30" priority="30" stopIfTrue="1" operator="notEqual">
      <formula>0</formula>
    </cfRule>
  </conditionalFormatting>
  <conditionalFormatting sqref="AU5:AU8 AU27:AU29">
    <cfRule type="cellIs" dxfId="29" priority="29" stopIfTrue="1" operator="greaterThan">
      <formula>0.9</formula>
    </cfRule>
  </conditionalFormatting>
  <conditionalFormatting sqref="BD13 BD41">
    <cfRule type="cellIs" dxfId="28" priority="28" stopIfTrue="1" operator="notEqual">
      <formula>0</formula>
    </cfRule>
  </conditionalFormatting>
  <conditionalFormatting sqref="BD58">
    <cfRule type="cellIs" dxfId="27" priority="15" stopIfTrue="1" operator="notEqual">
      <formula>0</formula>
    </cfRule>
  </conditionalFormatting>
  <conditionalFormatting sqref="BD85">
    <cfRule type="cellIs" dxfId="26" priority="14" stopIfTrue="1" operator="notEqual">
      <formula>0</formula>
    </cfRule>
  </conditionalFormatting>
  <conditionalFormatting sqref="BH5:BH7 BH27:BH29">
    <cfRule type="cellIs" dxfId="25" priority="27" stopIfTrue="1" operator="greaterThan">
      <formula>0.9</formula>
    </cfRule>
  </conditionalFormatting>
  <conditionalFormatting sqref="BH54">
    <cfRule type="cellIs" dxfId="24" priority="13" stopIfTrue="1" operator="greaterThan">
      <formula>0.9</formula>
    </cfRule>
  </conditionalFormatting>
  <conditionalFormatting sqref="BQ13 BQ19 BQ40 BQ46">
    <cfRule type="cellIs" dxfId="23" priority="26" stopIfTrue="1" operator="notEqual">
      <formula>0</formula>
    </cfRule>
  </conditionalFormatting>
  <conditionalFormatting sqref="BU5:BU8 BU32:BU35">
    <cfRule type="cellIs" dxfId="22" priority="25" stopIfTrue="1" operator="greaterThan">
      <formula>0.9</formula>
    </cfRule>
  </conditionalFormatting>
  <conditionalFormatting sqref="CR4">
    <cfRule type="cellIs" dxfId="21" priority="19" stopIfTrue="1" operator="greaterThan">
      <formula>0</formula>
    </cfRule>
  </conditionalFormatting>
  <conditionalFormatting sqref="CT12 CT40">
    <cfRule type="cellIs" dxfId="20" priority="21" stopIfTrue="1" operator="notEqual">
      <formula>0</formula>
    </cfRule>
  </conditionalFormatting>
  <conditionalFormatting sqref="CX5:CX7">
    <cfRule type="cellIs" dxfId="19" priority="20" stopIfTrue="1" operator="greaterThan">
      <formula>0.9</formula>
    </cfRule>
  </conditionalFormatting>
  <conditionalFormatting sqref="CX25:CX28 R46:R50">
    <cfRule type="cellIs" dxfId="18" priority="31" stopIfTrue="1" operator="greaterThan">
      <formula>0.9</formula>
    </cfRule>
  </conditionalFormatting>
  <conditionalFormatting sqref="DG13 DG19 DG40 DG46">
    <cfRule type="cellIs" dxfId="17" priority="11" stopIfTrue="1" operator="notEqual">
      <formula>0</formula>
    </cfRule>
  </conditionalFormatting>
  <conditionalFormatting sqref="DK5:DK8 DK32:DK35">
    <cfRule type="cellIs" dxfId="16" priority="10" stopIfTrue="1" operator="greaterThan">
      <formula>0.9</formula>
    </cfRule>
  </conditionalFormatting>
  <pageMargins left="0.7" right="0.7" top="0.75" bottom="0.75" header="0.3" footer="0.3"/>
  <pageSetup paperSize="9" scale="66" orientation="landscape" r:id="rId1"/>
  <headerFooter>
    <oddHeader>&amp;C&amp;F
Edition du 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7E811-3BBC-4B72-B9A0-115A342A94BF}">
  <sheetPr>
    <tabColor theme="8" tint="0.59999389629810485"/>
  </sheetPr>
  <dimension ref="A1:AK97"/>
  <sheetViews>
    <sheetView workbookViewId="0">
      <selection activeCell="B5" sqref="B5"/>
    </sheetView>
  </sheetViews>
  <sheetFormatPr baseColWidth="10" defaultRowHeight="15" x14ac:dyDescent="0.25"/>
  <cols>
    <col min="1" max="1" width="30.140625" customWidth="1"/>
    <col min="2" max="2" width="15" customWidth="1"/>
    <col min="3" max="3" width="14" customWidth="1"/>
    <col min="4" max="4" width="17" customWidth="1"/>
    <col min="5" max="5" width="15.7109375" customWidth="1"/>
    <col min="6" max="6" width="18.140625" customWidth="1"/>
    <col min="7" max="7" width="10" customWidth="1"/>
    <col min="8" max="8" width="5" customWidth="1"/>
    <col min="9" max="9" width="4.5703125" customWidth="1"/>
    <col min="10" max="10" width="71.7109375" hidden="1" customWidth="1"/>
    <col min="11" max="11" width="5.140625" hidden="1" customWidth="1"/>
    <col min="12" max="12" width="7.7109375" style="2" hidden="1" customWidth="1"/>
    <col min="13" max="19" width="0" hidden="1" customWidth="1"/>
  </cols>
  <sheetData>
    <row r="1" spans="1:37" ht="23.25" customHeight="1" x14ac:dyDescent="0.25">
      <c r="A1" s="470" t="s">
        <v>230</v>
      </c>
      <c r="B1" s="471"/>
      <c r="C1" s="471"/>
      <c r="D1" s="471"/>
      <c r="E1" s="471"/>
      <c r="F1" s="471"/>
      <c r="G1" s="471"/>
      <c r="H1" s="472"/>
      <c r="I1" s="237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</row>
    <row r="2" spans="1:37" ht="16.5" thickBot="1" x14ac:dyDescent="0.3">
      <c r="A2" s="473"/>
      <c r="B2" s="474"/>
      <c r="C2" s="474"/>
      <c r="D2" s="474"/>
      <c r="E2" s="474"/>
      <c r="F2" s="474"/>
      <c r="G2" s="474"/>
      <c r="H2" s="475"/>
      <c r="I2" s="237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</row>
    <row r="3" spans="1:37" ht="16.5" thickBot="1" x14ac:dyDescent="0.3">
      <c r="A3" s="478" t="s">
        <v>226</v>
      </c>
      <c r="B3" s="479"/>
      <c r="C3" s="479"/>
      <c r="D3" s="479"/>
      <c r="E3" s="479"/>
      <c r="F3" s="479"/>
      <c r="G3" s="479"/>
      <c r="H3" s="480"/>
      <c r="I3" s="103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</row>
    <row r="4" spans="1:37" ht="33.75" x14ac:dyDescent="0.25">
      <c r="A4" s="194" t="s">
        <v>208</v>
      </c>
      <c r="B4" s="195" t="s">
        <v>210</v>
      </c>
      <c r="C4" s="195" t="s">
        <v>25</v>
      </c>
      <c r="D4" s="195" t="s">
        <v>36</v>
      </c>
      <c r="E4" s="195" t="s">
        <v>27</v>
      </c>
      <c r="F4" s="195" t="s">
        <v>225</v>
      </c>
      <c r="G4" s="461" t="s">
        <v>29</v>
      </c>
      <c r="H4" s="462"/>
      <c r="I4" s="208"/>
      <c r="J4" t="s">
        <v>37</v>
      </c>
      <c r="L4" s="2">
        <f>G6+G5</f>
        <v>0</v>
      </c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</row>
    <row r="5" spans="1:37" x14ac:dyDescent="0.25">
      <c r="A5" s="209" t="s">
        <v>0</v>
      </c>
      <c r="B5" s="308"/>
      <c r="C5" s="9">
        <f>B5/($B$21+0.00001)</f>
        <v>0</v>
      </c>
      <c r="D5" s="8">
        <f>IF(C5&lt;80%,B5,4*(B6+B7))</f>
        <v>0</v>
      </c>
      <c r="E5" s="9">
        <f>G5/(F$24+0.00001)</f>
        <v>0</v>
      </c>
      <c r="F5" s="8">
        <f>IF(OR($D$7=$B$8,$D$6=$B$8,$D$5=$B$8,C5=100%),0,D5)</f>
        <v>0</v>
      </c>
      <c r="G5" s="400">
        <f>F5</f>
        <v>0</v>
      </c>
      <c r="H5" s="481"/>
      <c r="I5" s="105"/>
      <c r="J5" t="s">
        <v>43</v>
      </c>
      <c r="K5" s="4"/>
      <c r="L5" s="2">
        <f>G7</f>
        <v>0</v>
      </c>
      <c r="T5" s="107"/>
      <c r="U5" s="107"/>
      <c r="V5" s="107"/>
      <c r="W5" s="107"/>
      <c r="X5" s="107"/>
      <c r="Y5" s="107"/>
      <c r="Z5" s="107"/>
      <c r="AA5" s="107"/>
      <c r="AB5" s="107"/>
      <c r="AC5" s="56"/>
      <c r="AD5" s="56"/>
      <c r="AE5" s="56"/>
      <c r="AF5" s="56"/>
      <c r="AG5" s="56"/>
      <c r="AH5" s="56"/>
      <c r="AI5" s="56"/>
      <c r="AJ5" s="56"/>
      <c r="AK5" s="56"/>
    </row>
    <row r="6" spans="1:37" x14ac:dyDescent="0.25">
      <c r="A6" s="196" t="s">
        <v>1</v>
      </c>
      <c r="B6" s="309"/>
      <c r="C6" s="9">
        <f>B6/($B$21+0.00001)</f>
        <v>0</v>
      </c>
      <c r="D6" s="7">
        <f>IF(C6&lt;80%,B6,4*(B7+B5))</f>
        <v>0</v>
      </c>
      <c r="E6" s="9">
        <f>G6/(F$24+0.00001)</f>
        <v>0</v>
      </c>
      <c r="F6" s="8">
        <f>IF(OR($D$6=$B$8,$D$7=$B$8,$D$5=$B$8,C6=100%),0,D6)</f>
        <v>0</v>
      </c>
      <c r="G6" s="400">
        <f>F6</f>
        <v>0</v>
      </c>
      <c r="H6" s="481"/>
      <c r="I6" s="105"/>
      <c r="J6" t="s">
        <v>47</v>
      </c>
      <c r="L6" s="12">
        <f>IF(L5&gt;L4,L4,L5)</f>
        <v>0</v>
      </c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</row>
    <row r="7" spans="1:37" ht="15.75" thickBot="1" x14ac:dyDescent="0.3">
      <c r="A7" s="196" t="s">
        <v>49</v>
      </c>
      <c r="B7" s="309"/>
      <c r="C7" s="201">
        <f>B7/($B$21+0.00001)</f>
        <v>0</v>
      </c>
      <c r="D7" s="198">
        <f>IF(C7&lt;80%,B7,4*(B6+B5))</f>
        <v>0</v>
      </c>
      <c r="E7" s="201">
        <f>G7/(F$24+0.00001)</f>
        <v>0</v>
      </c>
      <c r="F7" s="202">
        <f>IF(OR($D$6=$B$8,$D$7=$B$8,$D$5=$B$8,C7=100%),0,D7)</f>
        <v>0</v>
      </c>
      <c r="G7" s="476">
        <f>F7</f>
        <v>0</v>
      </c>
      <c r="H7" s="477"/>
      <c r="I7" s="105"/>
      <c r="J7" s="1" t="s">
        <v>39</v>
      </c>
      <c r="K7" s="5"/>
      <c r="L7" s="2">
        <f>R10*20/80</f>
        <v>0</v>
      </c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</row>
    <row r="8" spans="1:37" ht="16.5" thickBot="1" x14ac:dyDescent="0.3">
      <c r="A8" s="192" t="s">
        <v>214</v>
      </c>
      <c r="B8" s="216">
        <f>SUM(B5:B7)</f>
        <v>0</v>
      </c>
      <c r="C8" s="227"/>
      <c r="D8" s="108"/>
      <c r="E8" s="185"/>
      <c r="F8" s="189" t="s">
        <v>55</v>
      </c>
      <c r="G8" s="468">
        <f>L6</f>
        <v>0</v>
      </c>
      <c r="H8" s="469"/>
      <c r="I8" s="105"/>
      <c r="J8" s="1" t="s">
        <v>40</v>
      </c>
      <c r="K8" s="5"/>
      <c r="L8" s="2">
        <f>B13</f>
        <v>0</v>
      </c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</row>
    <row r="9" spans="1:37" ht="15.75" thickBot="1" x14ac:dyDescent="0.3">
      <c r="A9" s="263"/>
      <c r="B9" s="127"/>
      <c r="C9" s="61"/>
      <c r="D9" s="61"/>
      <c r="E9" s="72"/>
      <c r="F9" s="56"/>
      <c r="G9" s="82"/>
      <c r="H9" s="278"/>
      <c r="I9" s="246"/>
      <c r="J9" s="1" t="s">
        <v>44</v>
      </c>
      <c r="K9" s="5"/>
      <c r="L9" s="2" t="e">
        <f>IF((R10*100/B21)&gt;80,100-(R10*100/B21),20)</f>
        <v>#DIV/0!</v>
      </c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</row>
    <row r="10" spans="1:37" x14ac:dyDescent="0.25">
      <c r="A10" s="128" t="s">
        <v>61</v>
      </c>
      <c r="B10" s="310"/>
      <c r="C10" s="203"/>
      <c r="D10" s="56"/>
      <c r="E10" s="56"/>
      <c r="F10" s="56"/>
      <c r="G10" s="56"/>
      <c r="H10" s="256"/>
      <c r="I10" s="218"/>
      <c r="J10" s="1" t="s">
        <v>50</v>
      </c>
      <c r="K10" s="5"/>
      <c r="L10" s="12">
        <f>IF(B13&gt;L7,L7,B13)</f>
        <v>0</v>
      </c>
      <c r="O10" s="452" t="s">
        <v>58</v>
      </c>
      <c r="P10" s="452"/>
      <c r="Q10" s="452"/>
      <c r="R10" s="362">
        <f>SUM(G5,G6,G8)</f>
        <v>0</v>
      </c>
      <c r="S10" s="361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</row>
    <row r="11" spans="1:37" x14ac:dyDescent="0.25">
      <c r="A11" s="129" t="s">
        <v>125</v>
      </c>
      <c r="B11" s="311"/>
      <c r="C11" s="103"/>
      <c r="D11" s="56"/>
      <c r="E11" s="56"/>
      <c r="F11" s="56"/>
      <c r="G11" s="56"/>
      <c r="H11" s="256"/>
      <c r="I11" s="232"/>
      <c r="J11" s="1"/>
      <c r="K11" s="5"/>
      <c r="O11" s="454" t="s">
        <v>62</v>
      </c>
      <c r="P11" s="454"/>
      <c r="Q11" s="454"/>
      <c r="R11" s="21">
        <f>IF(F24=0,0,R10*100/F24)</f>
        <v>0</v>
      </c>
      <c r="S11" s="179" t="s">
        <v>56</v>
      </c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</row>
    <row r="12" spans="1:37" x14ac:dyDescent="0.25">
      <c r="A12" s="131" t="s">
        <v>124</v>
      </c>
      <c r="B12" s="311"/>
      <c r="C12" s="103"/>
      <c r="D12" s="56"/>
      <c r="E12" s="56"/>
      <c r="F12" s="56"/>
      <c r="G12" s="56"/>
      <c r="H12" s="256"/>
      <c r="I12" s="218"/>
      <c r="J12" s="1" t="s">
        <v>59</v>
      </c>
      <c r="K12" s="5"/>
      <c r="L12" s="2">
        <f>IF(L10=L7,0,IF(L10&lt;L7,L7-L10,""))</f>
        <v>0</v>
      </c>
      <c r="O12" s="455" t="s">
        <v>64</v>
      </c>
      <c r="P12" s="455"/>
      <c r="Q12" s="455"/>
      <c r="R12" s="362">
        <f>IF(B8&lt;R10,0,B8-R10)</f>
        <v>0</v>
      </c>
      <c r="S12" s="361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7" ht="15.75" thickBot="1" x14ac:dyDescent="0.3">
      <c r="A13" s="123" t="s">
        <v>205</v>
      </c>
      <c r="B13" s="205">
        <f>SUM(B10:B12)</f>
        <v>0</v>
      </c>
      <c r="C13" s="103"/>
      <c r="D13" s="56"/>
      <c r="E13" s="56"/>
      <c r="F13" s="56"/>
      <c r="G13" s="56"/>
      <c r="H13" s="256"/>
      <c r="I13" s="218"/>
      <c r="J13" s="1" t="s">
        <v>63</v>
      </c>
      <c r="K13" s="5"/>
      <c r="L13" s="2">
        <f>IF(L12&lt;B17+B16+B18+B15,L12,B17+B16+B18+B15)</f>
        <v>0</v>
      </c>
      <c r="O13" s="397"/>
      <c r="P13" s="397"/>
      <c r="Q13" s="397"/>
      <c r="R13" s="398"/>
      <c r="S13" s="398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</row>
    <row r="14" spans="1:37" ht="15.75" thickBot="1" x14ac:dyDescent="0.3">
      <c r="A14" s="263"/>
      <c r="B14" s="120"/>
      <c r="C14" s="56"/>
      <c r="D14" s="56"/>
      <c r="E14" s="56"/>
      <c r="F14" s="56"/>
      <c r="G14" s="56"/>
      <c r="H14" s="256"/>
      <c r="I14" s="218"/>
      <c r="J14" s="1"/>
      <c r="K14" s="5"/>
      <c r="O14" s="452" t="s">
        <v>70</v>
      </c>
      <c r="P14" s="452"/>
      <c r="Q14" s="452"/>
      <c r="R14" s="362">
        <f>L10</f>
        <v>0</v>
      </c>
      <c r="S14" s="361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</row>
    <row r="15" spans="1:37" x14ac:dyDescent="0.25">
      <c r="A15" s="121" t="s">
        <v>126</v>
      </c>
      <c r="B15" s="312"/>
      <c r="C15" s="106"/>
      <c r="D15" s="56"/>
      <c r="E15" s="56"/>
      <c r="F15" s="56"/>
      <c r="G15" s="56"/>
      <c r="H15" s="256"/>
      <c r="I15" s="232"/>
      <c r="J15" s="23" t="s">
        <v>68</v>
      </c>
      <c r="K15" s="5"/>
      <c r="L15" s="24">
        <f>IF(L13=0,0,L13*100/L23)</f>
        <v>0</v>
      </c>
      <c r="O15" s="454" t="s">
        <v>74</v>
      </c>
      <c r="P15" s="454"/>
      <c r="Q15" s="454"/>
      <c r="R15" s="21">
        <f>IF(F24=0,0,R14*100/F24)</f>
        <v>0</v>
      </c>
      <c r="S15" s="179" t="s">
        <v>56</v>
      </c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</row>
    <row r="16" spans="1:37" x14ac:dyDescent="0.25">
      <c r="A16" s="122" t="s">
        <v>123</v>
      </c>
      <c r="B16" s="313"/>
      <c r="C16" s="106"/>
      <c r="D16" s="56"/>
      <c r="E16" s="56"/>
      <c r="F16" s="56"/>
      <c r="G16" s="56"/>
      <c r="H16" s="256"/>
      <c r="I16" s="232"/>
      <c r="J16" s="23"/>
      <c r="K16" s="5"/>
      <c r="L16" s="24"/>
      <c r="O16" s="455" t="s">
        <v>77</v>
      </c>
      <c r="P16" s="455"/>
      <c r="Q16" s="455"/>
      <c r="R16" s="362">
        <f>IF(B13&lt;R14,0,B13-R14)</f>
        <v>0</v>
      </c>
      <c r="S16" s="361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</row>
    <row r="17" spans="1:37" x14ac:dyDescent="0.25">
      <c r="A17" s="122" t="s">
        <v>127</v>
      </c>
      <c r="B17" s="313"/>
      <c r="C17" s="106"/>
      <c r="D17" s="56"/>
      <c r="E17" s="56"/>
      <c r="F17" s="56"/>
      <c r="G17" s="56"/>
      <c r="H17" s="256"/>
      <c r="I17" s="232"/>
      <c r="J17" s="23"/>
      <c r="K17" s="5"/>
      <c r="L17" s="24"/>
      <c r="O17" s="39"/>
      <c r="P17" s="39"/>
      <c r="Q17" s="39"/>
      <c r="R17" s="35"/>
      <c r="S17" s="22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</row>
    <row r="18" spans="1:37" x14ac:dyDescent="0.25">
      <c r="A18" s="122" t="s">
        <v>82</v>
      </c>
      <c r="B18" s="313"/>
      <c r="C18" s="106"/>
      <c r="D18" s="56"/>
      <c r="E18" s="56"/>
      <c r="F18" s="56"/>
      <c r="G18" s="56"/>
      <c r="H18" s="256"/>
      <c r="I18" s="232"/>
      <c r="J18" s="23"/>
      <c r="K18" s="5"/>
      <c r="L18" s="24"/>
      <c r="O18" s="452" t="s">
        <v>83</v>
      </c>
      <c r="P18" s="452"/>
      <c r="Q18" s="452"/>
      <c r="R18" s="453">
        <f>IF(OR(L31&gt;L30,L31=L30),L32,L51)</f>
        <v>0</v>
      </c>
      <c r="S18" s="361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</row>
    <row r="19" spans="1:37" ht="15.75" thickBot="1" x14ac:dyDescent="0.3">
      <c r="A19" s="123" t="s">
        <v>85</v>
      </c>
      <c r="B19" s="205">
        <f>SUM(B15:B18)</f>
        <v>0</v>
      </c>
      <c r="C19" s="106"/>
      <c r="D19" s="56"/>
      <c r="E19" s="56"/>
      <c r="F19" s="56"/>
      <c r="G19" s="56"/>
      <c r="H19" s="256"/>
      <c r="I19" s="232"/>
      <c r="J19" s="23"/>
      <c r="K19" s="5"/>
      <c r="L19" s="24"/>
      <c r="O19" s="454" t="s">
        <v>74</v>
      </c>
      <c r="P19" s="454"/>
      <c r="Q19" s="454"/>
      <c r="R19" s="21">
        <f>IF(F24=0,0,R18*100/F24)</f>
        <v>0</v>
      </c>
      <c r="S19" s="179" t="s">
        <v>56</v>
      </c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</row>
    <row r="20" spans="1:37" ht="15.75" thickBot="1" x14ac:dyDescent="0.3">
      <c r="A20" s="263"/>
      <c r="B20" s="120"/>
      <c r="C20" s="61"/>
      <c r="D20" s="56"/>
      <c r="E20" s="56"/>
      <c r="F20" s="56"/>
      <c r="G20" s="56"/>
      <c r="H20" s="256"/>
      <c r="I20" s="232"/>
      <c r="J20" s="23"/>
      <c r="K20" s="5"/>
      <c r="L20" s="24"/>
      <c r="O20" s="454" t="s">
        <v>87</v>
      </c>
      <c r="P20" s="454"/>
      <c r="Q20" s="454"/>
      <c r="R20" s="453">
        <f>IF(OR(L31&gt;L30,L31=L30),L29,L36)</f>
        <v>0</v>
      </c>
      <c r="S20" s="361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</row>
    <row r="21" spans="1:37" ht="17.25" thickBot="1" x14ac:dyDescent="0.3">
      <c r="A21" s="190" t="s">
        <v>207</v>
      </c>
      <c r="B21" s="191">
        <f>B19+B13+B8</f>
        <v>0</v>
      </c>
      <c r="C21" s="106"/>
      <c r="D21" s="56"/>
      <c r="E21" s="56"/>
      <c r="F21" s="56"/>
      <c r="G21" s="56"/>
      <c r="H21" s="256"/>
      <c r="I21" s="232"/>
      <c r="J21" s="23"/>
      <c r="K21" s="5"/>
      <c r="L21" s="24"/>
      <c r="O21" s="454" t="s">
        <v>80</v>
      </c>
      <c r="P21" s="454"/>
      <c r="Q21" s="454"/>
      <c r="R21" s="21">
        <f>IF(F24=0,0,R20*100/F24)</f>
        <v>0</v>
      </c>
      <c r="S21" s="179" t="s">
        <v>56</v>
      </c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</row>
    <row r="22" spans="1:37" x14ac:dyDescent="0.25">
      <c r="A22" s="268"/>
      <c r="B22" s="108"/>
      <c r="C22" s="98"/>
      <c r="D22" s="56"/>
      <c r="E22" s="56"/>
      <c r="F22" s="56"/>
      <c r="G22" s="56"/>
      <c r="H22" s="256"/>
      <c r="I22" s="218"/>
      <c r="J22" s="23" t="s">
        <v>71</v>
      </c>
      <c r="K22" s="5"/>
      <c r="L22" s="12">
        <f>IF(L13=0,0,IF(L15&gt;20,0.25*L23-0.25*L13,L13))</f>
        <v>0</v>
      </c>
      <c r="O22" s="464" t="s">
        <v>90</v>
      </c>
      <c r="P22" s="464"/>
      <c r="Q22" s="464"/>
      <c r="R22" s="453">
        <f>IF(B19&lt;R18,0,B19-R18)</f>
        <v>0</v>
      </c>
      <c r="S22" s="361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</row>
    <row r="23" spans="1:37" ht="15.75" thickBot="1" x14ac:dyDescent="0.3">
      <c r="A23" s="257"/>
      <c r="B23" s="107"/>
      <c r="C23" s="107"/>
      <c r="D23" s="465"/>
      <c r="E23" s="465"/>
      <c r="F23" s="465"/>
      <c r="G23" s="466"/>
      <c r="H23" s="467"/>
      <c r="I23" s="218"/>
      <c r="J23" s="23" t="s">
        <v>75</v>
      </c>
      <c r="K23" s="5"/>
      <c r="L23" s="2">
        <f>R10+R14+L13</f>
        <v>0</v>
      </c>
      <c r="T23" s="56"/>
      <c r="U23" s="56"/>
      <c r="V23" s="180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</row>
    <row r="24" spans="1:37" ht="15.75" x14ac:dyDescent="0.25">
      <c r="A24" s="416" t="s">
        <v>145</v>
      </c>
      <c r="B24" s="417"/>
      <c r="C24" s="417"/>
      <c r="D24" s="417"/>
      <c r="E24" s="417"/>
      <c r="F24" s="412">
        <f>R10+R14+R18</f>
        <v>0</v>
      </c>
      <c r="G24" s="412"/>
      <c r="H24" s="413"/>
      <c r="I24" s="218"/>
      <c r="J24" s="23" t="s">
        <v>78</v>
      </c>
      <c r="K24" s="1"/>
      <c r="L24" s="2">
        <f>R10+R14+L22</f>
        <v>0</v>
      </c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</row>
    <row r="25" spans="1:37" ht="16.5" thickBot="1" x14ac:dyDescent="0.3">
      <c r="A25" s="448" t="s">
        <v>146</v>
      </c>
      <c r="B25" s="449"/>
      <c r="C25" s="449"/>
      <c r="D25" s="449"/>
      <c r="E25" s="449"/>
      <c r="F25" s="450">
        <f>R12+R16+R22</f>
        <v>0</v>
      </c>
      <c r="G25" s="450"/>
      <c r="H25" s="451"/>
      <c r="I25" s="219"/>
      <c r="J25" s="1"/>
      <c r="K25" s="1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</row>
    <row r="26" spans="1:37" x14ac:dyDescent="0.25">
      <c r="A26" s="268"/>
      <c r="B26" s="108"/>
      <c r="C26" s="108"/>
      <c r="D26" s="108"/>
      <c r="E26" s="108"/>
      <c r="F26" s="108"/>
      <c r="G26" s="108"/>
      <c r="H26" s="260"/>
      <c r="I26" s="218"/>
      <c r="J26" s="23" t="s">
        <v>81</v>
      </c>
      <c r="K26" s="1"/>
      <c r="L26" s="2">
        <f>(B16+B17+B18)-(1/0.9)*(B16+B17+B18)+(0.1/0.9)*(R10+R14+B16+B17+B18+B15)</f>
        <v>0</v>
      </c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</row>
    <row r="27" spans="1:37" ht="15" customHeight="1" x14ac:dyDescent="0.25">
      <c r="A27" s="255"/>
      <c r="B27" s="56"/>
      <c r="C27" s="56"/>
      <c r="D27" s="56"/>
      <c r="E27" s="56"/>
      <c r="F27" s="56"/>
      <c r="G27" s="56"/>
      <c r="H27" s="256"/>
      <c r="I27" s="232"/>
      <c r="J27" s="23" t="s">
        <v>84</v>
      </c>
      <c r="K27" s="1"/>
      <c r="L27" s="2">
        <f>IF(L26=0,0,IF(B16+B17+B18&gt;L26,L26,B16+B17+B18))</f>
        <v>0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</row>
    <row r="28" spans="1:37" ht="15" customHeight="1" thickBot="1" x14ac:dyDescent="0.3">
      <c r="A28" s="257"/>
      <c r="B28" s="107"/>
      <c r="C28" s="107"/>
      <c r="D28" s="107"/>
      <c r="E28" s="107"/>
      <c r="F28" s="107"/>
      <c r="G28" s="107"/>
      <c r="H28" s="258"/>
      <c r="I28" s="232"/>
      <c r="J28" s="23"/>
      <c r="K28" s="1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</row>
    <row r="29" spans="1:37" ht="16.5" thickBot="1" x14ac:dyDescent="0.3">
      <c r="A29" s="456" t="s">
        <v>96</v>
      </c>
      <c r="B29" s="457"/>
      <c r="C29" s="457"/>
      <c r="D29" s="457"/>
      <c r="E29" s="457"/>
      <c r="F29" s="457"/>
      <c r="G29" s="457"/>
      <c r="H29" s="458"/>
      <c r="I29" s="275"/>
      <c r="J29" s="23" t="s">
        <v>86</v>
      </c>
      <c r="K29" s="1"/>
      <c r="L29" s="2">
        <f>IF(L27&gt;L22,L22,L27)</f>
        <v>0</v>
      </c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</row>
    <row r="30" spans="1:37" ht="15.75" x14ac:dyDescent="0.25">
      <c r="A30" s="459" t="s">
        <v>208</v>
      </c>
      <c r="B30" s="461" t="s">
        <v>210</v>
      </c>
      <c r="C30" s="461" t="s">
        <v>25</v>
      </c>
      <c r="D30" s="461" t="s">
        <v>36</v>
      </c>
      <c r="E30" s="461" t="s">
        <v>27</v>
      </c>
      <c r="F30" s="461" t="s">
        <v>225</v>
      </c>
      <c r="G30" s="461" t="s">
        <v>29</v>
      </c>
      <c r="H30" s="462"/>
      <c r="I30" s="220"/>
      <c r="J30" s="23" t="s">
        <v>88</v>
      </c>
      <c r="K30" s="1"/>
      <c r="L30" s="24">
        <f>L22-L29</f>
        <v>0</v>
      </c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</row>
    <row r="31" spans="1:37" ht="15.75" x14ac:dyDescent="0.25">
      <c r="A31" s="460"/>
      <c r="B31" s="402"/>
      <c r="C31" s="402"/>
      <c r="D31" s="402"/>
      <c r="E31" s="402"/>
      <c r="F31" s="402"/>
      <c r="G31" s="402"/>
      <c r="H31" s="463"/>
      <c r="I31" s="220"/>
      <c r="J31" s="23" t="s">
        <v>89</v>
      </c>
      <c r="K31" s="1"/>
      <c r="L31" s="2">
        <f>IF(B15=0,0,IF(B15&gt;L30,L30,B15))</f>
        <v>0</v>
      </c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</row>
    <row r="32" spans="1:37" ht="15.75" x14ac:dyDescent="0.25">
      <c r="A32" s="209" t="s">
        <v>0</v>
      </c>
      <c r="B32" s="153">
        <f>B5</f>
        <v>0</v>
      </c>
      <c r="C32" s="9">
        <f>B32/($B$48+0.00001)</f>
        <v>0</v>
      </c>
      <c r="D32" s="8">
        <f>IF(C32&lt;80%,B32,4*(B33+B34))</f>
        <v>0</v>
      </c>
      <c r="E32" s="9">
        <f>G32/(F$53+0.00001)</f>
        <v>0</v>
      </c>
      <c r="F32" s="8">
        <f>IF(OR($D$34=$B$35,$D$33=$B$35,$D$32=$B$35,C32=100%),0,D32)</f>
        <v>0</v>
      </c>
      <c r="G32" s="51">
        <f>F32</f>
        <v>0</v>
      </c>
      <c r="H32" s="210"/>
      <c r="I32" s="220"/>
      <c r="J32" s="23" t="s">
        <v>92</v>
      </c>
      <c r="L32" s="2">
        <f>L31+L29</f>
        <v>0</v>
      </c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</row>
    <row r="33" spans="1:37" ht="15.75" x14ac:dyDescent="0.25">
      <c r="A33" s="196" t="s">
        <v>1</v>
      </c>
      <c r="B33" s="152">
        <f>B6</f>
        <v>0</v>
      </c>
      <c r="C33" s="11">
        <f>B33/($B$48+0.00001)</f>
        <v>0</v>
      </c>
      <c r="D33" s="7">
        <f>IF(C33&lt;80%,B33,4*(B34+B32))</f>
        <v>0</v>
      </c>
      <c r="E33" s="9">
        <f>G33/(F$53+0.00001)</f>
        <v>0</v>
      </c>
      <c r="F33" s="8">
        <f>IF(OR($D$32=$B$35,$D$33=$B$35,$D$34=$B$35,C33=100%),0,D33)</f>
        <v>0</v>
      </c>
      <c r="G33" s="51">
        <f>F33</f>
        <v>0</v>
      </c>
      <c r="H33" s="210"/>
      <c r="I33" s="220"/>
      <c r="J33" s="23" t="s">
        <v>78</v>
      </c>
      <c r="L33" s="2">
        <f>R10+R14+L32</f>
        <v>0</v>
      </c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</row>
    <row r="34" spans="1:37" x14ac:dyDescent="0.25">
      <c r="A34" s="196" t="s">
        <v>49</v>
      </c>
      <c r="B34" s="152">
        <f>B7</f>
        <v>0</v>
      </c>
      <c r="C34" s="11">
        <f>B34/($B$48+0.00001)</f>
        <v>0</v>
      </c>
      <c r="D34" s="7">
        <f>IF(C34&lt;80%,B34,4*(B33+B32))</f>
        <v>0</v>
      </c>
      <c r="E34" s="9">
        <f>G34/(F$53+0.00001)</f>
        <v>0</v>
      </c>
      <c r="F34" s="8">
        <f>IF(OR($D$32=$B$35,$D$33=$B$35,$D$34=$B$35,C34=100%),0,D34)</f>
        <v>0</v>
      </c>
      <c r="G34" s="51">
        <f>F34</f>
        <v>0</v>
      </c>
      <c r="H34" s="210"/>
      <c r="I34" s="103"/>
      <c r="J34" s="23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</row>
    <row r="35" spans="1:37" ht="16.5" thickBot="1" x14ac:dyDescent="0.3">
      <c r="A35" s="211" t="s">
        <v>204</v>
      </c>
      <c r="B35" s="212">
        <f>SUM(B32:B34)</f>
        <v>0</v>
      </c>
      <c r="C35" s="213"/>
      <c r="D35" s="198"/>
      <c r="E35" s="201"/>
      <c r="F35" s="214" t="s">
        <v>55</v>
      </c>
      <c r="G35" s="221">
        <f>L56</f>
        <v>0</v>
      </c>
      <c r="H35" s="215"/>
      <c r="I35" s="113"/>
      <c r="J35" s="23" t="s">
        <v>95</v>
      </c>
      <c r="L35" s="2">
        <f>0.1*L33</f>
        <v>0</v>
      </c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</row>
    <row r="36" spans="1:37" ht="15.75" thickBot="1" x14ac:dyDescent="0.3">
      <c r="A36" s="263"/>
      <c r="B36" s="120"/>
      <c r="C36" s="189"/>
      <c r="D36" s="189"/>
      <c r="E36" s="185"/>
      <c r="F36" s="108"/>
      <c r="G36" s="200"/>
      <c r="H36" s="269"/>
      <c r="I36" s="103"/>
      <c r="J36" s="23" t="s">
        <v>84</v>
      </c>
      <c r="L36" s="12">
        <f>IF(L35=0,0,IF(B16+B17+B18&gt;L35,L35,B16+B17+B18))</f>
        <v>0</v>
      </c>
      <c r="O36" s="452" t="s">
        <v>58</v>
      </c>
      <c r="P36" s="452"/>
      <c r="Q36" s="452"/>
      <c r="R36" s="362">
        <f>SUM(G32,G33,G35)</f>
        <v>0</v>
      </c>
      <c r="S36" s="361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</row>
    <row r="37" spans="1:37" x14ac:dyDescent="0.25">
      <c r="A37" s="128" t="s">
        <v>61</v>
      </c>
      <c r="B37" s="187">
        <f>B10</f>
        <v>0</v>
      </c>
      <c r="C37" s="203"/>
      <c r="D37" s="56"/>
      <c r="E37" s="56"/>
      <c r="F37" s="56"/>
      <c r="G37" s="56"/>
      <c r="H37" s="256"/>
      <c r="I37" s="140"/>
      <c r="J37" s="23"/>
      <c r="O37" s="454" t="s">
        <v>97</v>
      </c>
      <c r="P37" s="454"/>
      <c r="Q37" s="454"/>
      <c r="R37" s="21">
        <f>IF(F53=0,0,R36*100/F53)</f>
        <v>0</v>
      </c>
      <c r="S37" s="179" t="s">
        <v>56</v>
      </c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</row>
    <row r="38" spans="1:37" x14ac:dyDescent="0.25">
      <c r="A38" s="129" t="s">
        <v>125</v>
      </c>
      <c r="B38" s="204">
        <f>B11</f>
        <v>0</v>
      </c>
      <c r="C38" s="103"/>
      <c r="D38" s="56"/>
      <c r="E38" s="56"/>
      <c r="F38" s="56"/>
      <c r="G38" s="56"/>
      <c r="H38" s="256"/>
      <c r="I38" s="103"/>
      <c r="J38" s="23" t="s">
        <v>88</v>
      </c>
      <c r="L38" s="2">
        <f>L22-L36</f>
        <v>0</v>
      </c>
      <c r="O38" s="455" t="s">
        <v>64</v>
      </c>
      <c r="P38" s="455"/>
      <c r="Q38" s="455"/>
      <c r="R38" s="362">
        <f>IF(B35&lt;R36,0,B35-R36)</f>
        <v>0</v>
      </c>
      <c r="S38" s="361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</row>
    <row r="39" spans="1:37" x14ac:dyDescent="0.25">
      <c r="A39" s="131" t="s">
        <v>124</v>
      </c>
      <c r="B39" s="204">
        <f>B12</f>
        <v>0</v>
      </c>
      <c r="C39" s="103"/>
      <c r="D39" s="56"/>
      <c r="E39" s="56"/>
      <c r="F39" s="56"/>
      <c r="G39" s="56"/>
      <c r="H39" s="256"/>
      <c r="I39" s="103"/>
      <c r="J39" s="23"/>
      <c r="O39" s="397"/>
      <c r="P39" s="397"/>
      <c r="Q39" s="397"/>
      <c r="R39" s="398"/>
      <c r="S39" s="398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</row>
    <row r="40" spans="1:37" ht="15.75" thickBot="1" x14ac:dyDescent="0.3">
      <c r="A40" s="123" t="s">
        <v>205</v>
      </c>
      <c r="B40" s="205">
        <f>SUM(B37:B39)</f>
        <v>0</v>
      </c>
      <c r="C40" s="103"/>
      <c r="D40" s="56"/>
      <c r="E40" s="56"/>
      <c r="F40" s="56"/>
      <c r="G40" s="56"/>
      <c r="H40" s="256"/>
      <c r="I40" s="103"/>
      <c r="J40" s="23"/>
      <c r="O40" s="452" t="s">
        <v>70</v>
      </c>
      <c r="P40" s="452"/>
      <c r="Q40" s="452"/>
      <c r="R40" s="453">
        <f>L73</f>
        <v>0</v>
      </c>
      <c r="S40" s="361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</row>
    <row r="41" spans="1:37" ht="15.75" thickBot="1" x14ac:dyDescent="0.3">
      <c r="A41" s="263"/>
      <c r="B41" s="127"/>
      <c r="C41" s="56"/>
      <c r="D41" s="56"/>
      <c r="E41" s="56"/>
      <c r="F41" s="56"/>
      <c r="G41" s="56"/>
      <c r="H41" s="256"/>
      <c r="I41" s="103"/>
      <c r="J41" s="23"/>
      <c r="O41" s="454" t="s">
        <v>74</v>
      </c>
      <c r="P41" s="454"/>
      <c r="Q41" s="454"/>
      <c r="R41" s="21">
        <f>IF(F53=0,0,R40*100/F53)</f>
        <v>0</v>
      </c>
      <c r="S41" s="179" t="s">
        <v>56</v>
      </c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</row>
    <row r="42" spans="1:37" x14ac:dyDescent="0.25">
      <c r="A42" s="121" t="s">
        <v>126</v>
      </c>
      <c r="B42" s="206">
        <f>B15</f>
        <v>0</v>
      </c>
      <c r="C42" s="106"/>
      <c r="D42" s="56"/>
      <c r="E42" s="56"/>
      <c r="F42" s="56"/>
      <c r="G42" s="56"/>
      <c r="H42" s="256"/>
      <c r="I42" s="103"/>
      <c r="J42" s="23"/>
      <c r="O42" s="454" t="s">
        <v>79</v>
      </c>
      <c r="P42" s="454"/>
      <c r="Q42" s="454"/>
      <c r="R42" s="453">
        <f>L71</f>
        <v>0</v>
      </c>
      <c r="S42" s="361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</row>
    <row r="43" spans="1:37" x14ac:dyDescent="0.25">
      <c r="A43" s="122" t="s">
        <v>123</v>
      </c>
      <c r="B43" s="207">
        <f t="shared" ref="B43:B45" si="0">B16</f>
        <v>0</v>
      </c>
      <c r="C43" s="106"/>
      <c r="D43" s="56"/>
      <c r="E43" s="56"/>
      <c r="F43" s="56"/>
      <c r="G43" s="56"/>
      <c r="H43" s="256"/>
      <c r="I43" s="103"/>
      <c r="J43" s="23"/>
      <c r="O43" s="454" t="s">
        <v>80</v>
      </c>
      <c r="P43" s="454"/>
      <c r="Q43" s="454"/>
      <c r="R43" s="21">
        <f>IF(F53=0,0,R42*100/F53)</f>
        <v>0</v>
      </c>
      <c r="S43" s="179" t="s">
        <v>56</v>
      </c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</row>
    <row r="44" spans="1:37" x14ac:dyDescent="0.25">
      <c r="A44" s="122" t="s">
        <v>127</v>
      </c>
      <c r="B44" s="207">
        <f t="shared" si="0"/>
        <v>0</v>
      </c>
      <c r="C44" s="106"/>
      <c r="D44" s="56"/>
      <c r="E44" s="56"/>
      <c r="F44" s="56"/>
      <c r="G44" s="56"/>
      <c r="H44" s="256"/>
      <c r="I44" s="103"/>
      <c r="J44" s="23"/>
      <c r="O44" s="455" t="s">
        <v>77</v>
      </c>
      <c r="P44" s="455"/>
      <c r="Q44" s="455"/>
      <c r="R44" s="453">
        <f>IF(B40&lt;R40,0,B40-R40)</f>
        <v>0</v>
      </c>
      <c r="S44" s="361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</row>
    <row r="45" spans="1:37" x14ac:dyDescent="0.25">
      <c r="A45" s="122" t="s">
        <v>82</v>
      </c>
      <c r="B45" s="207">
        <f t="shared" si="0"/>
        <v>0</v>
      </c>
      <c r="C45" s="222"/>
      <c r="D45" s="56"/>
      <c r="E45" s="56"/>
      <c r="F45" s="56"/>
      <c r="G45" s="56"/>
      <c r="H45" s="256"/>
      <c r="I45" s="103"/>
      <c r="J45" s="23"/>
      <c r="O45" s="397"/>
      <c r="P45" s="397"/>
      <c r="Q45" s="397"/>
      <c r="R45" s="398"/>
      <c r="S45" s="398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56"/>
      <c r="AG45" s="56"/>
      <c r="AH45" s="56"/>
      <c r="AI45" s="56"/>
      <c r="AJ45" s="56"/>
      <c r="AK45" s="56"/>
    </row>
    <row r="46" spans="1:37" ht="15.75" thickBot="1" x14ac:dyDescent="0.3">
      <c r="A46" s="123" t="s">
        <v>85</v>
      </c>
      <c r="B46" s="188">
        <f>SUM(B42:B45)</f>
        <v>0</v>
      </c>
      <c r="C46" s="103"/>
      <c r="D46" s="56"/>
      <c r="E46" s="56"/>
      <c r="F46" s="56"/>
      <c r="G46" s="56"/>
      <c r="H46" s="256"/>
      <c r="I46" s="103"/>
      <c r="J46" s="85"/>
      <c r="K46" s="56"/>
      <c r="L46" s="65"/>
      <c r="M46" s="56"/>
      <c r="N46" s="56"/>
      <c r="O46" s="328" t="s">
        <v>83</v>
      </c>
      <c r="P46" s="328"/>
      <c r="Q46" s="328"/>
      <c r="R46" s="324">
        <f>IF(OR(L88&gt;L87,L88=L87),L89,L97)</f>
        <v>0</v>
      </c>
      <c r="S46" s="324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103"/>
      <c r="AG46" s="56"/>
      <c r="AH46" s="56"/>
      <c r="AI46" s="56"/>
      <c r="AJ46" s="56"/>
      <c r="AK46" s="56"/>
    </row>
    <row r="47" spans="1:37" ht="15.75" thickBot="1" x14ac:dyDescent="0.3">
      <c r="A47" s="263"/>
      <c r="B47" s="127"/>
      <c r="C47" s="56"/>
      <c r="D47" s="56"/>
      <c r="E47" s="56"/>
      <c r="F47" s="56"/>
      <c r="G47" s="56"/>
      <c r="H47" s="256"/>
      <c r="I47" s="103"/>
      <c r="J47" s="85"/>
      <c r="K47" s="56"/>
      <c r="L47" s="65"/>
      <c r="M47" s="56"/>
      <c r="N47" s="56"/>
      <c r="O47" s="336" t="s">
        <v>74</v>
      </c>
      <c r="P47" s="336"/>
      <c r="Q47" s="336"/>
      <c r="R47" s="81">
        <f>IF(F53=0,0,R46*100/F53)</f>
        <v>0</v>
      </c>
      <c r="S47" s="77" t="s">
        <v>56</v>
      </c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103"/>
      <c r="AG47" s="56"/>
      <c r="AH47" s="56"/>
      <c r="AI47" s="56"/>
      <c r="AJ47" s="56"/>
      <c r="AK47" s="56"/>
    </row>
    <row r="48" spans="1:37" ht="17.25" thickBot="1" x14ac:dyDescent="0.3">
      <c r="A48" s="190" t="s">
        <v>73</v>
      </c>
      <c r="B48" s="191">
        <f>B46+B40+B35</f>
        <v>0</v>
      </c>
      <c r="C48" s="103"/>
      <c r="D48" s="56"/>
      <c r="E48" s="56"/>
      <c r="F48" s="56"/>
      <c r="G48" s="56"/>
      <c r="H48" s="256"/>
      <c r="I48" s="113"/>
      <c r="J48" s="85"/>
      <c r="K48" s="56"/>
      <c r="L48" s="65"/>
      <c r="M48" s="56"/>
      <c r="N48" s="56"/>
      <c r="O48" s="336" t="s">
        <v>87</v>
      </c>
      <c r="P48" s="336"/>
      <c r="Q48" s="336"/>
      <c r="R48" s="324">
        <f>IF(OR(L88&gt;L87,L88=L87),L86,L93)</f>
        <v>0</v>
      </c>
      <c r="S48" s="324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</row>
    <row r="49" spans="1:31" x14ac:dyDescent="0.25">
      <c r="A49" s="268"/>
      <c r="B49" s="118"/>
      <c r="C49" s="56"/>
      <c r="D49" s="56"/>
      <c r="E49" s="56"/>
      <c r="F49" s="56"/>
      <c r="G49" s="56"/>
      <c r="H49" s="256"/>
      <c r="I49" s="103"/>
      <c r="J49" s="85"/>
      <c r="K49" s="56"/>
      <c r="L49" s="65"/>
      <c r="M49" s="56"/>
      <c r="N49" s="56"/>
      <c r="O49" s="336" t="s">
        <v>80</v>
      </c>
      <c r="P49" s="336"/>
      <c r="Q49" s="336"/>
      <c r="R49" s="81">
        <f>IF(F53=0,0,R48*100/F53)</f>
        <v>0</v>
      </c>
      <c r="S49" s="77" t="s">
        <v>56</v>
      </c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</row>
    <row r="50" spans="1:31" ht="15.75" x14ac:dyDescent="0.25">
      <c r="A50" s="257"/>
      <c r="B50" s="114"/>
      <c r="C50" s="182"/>
      <c r="D50" s="107"/>
      <c r="E50" s="107"/>
      <c r="F50" s="107"/>
      <c r="G50" s="107"/>
      <c r="H50" s="258"/>
      <c r="I50" s="276"/>
      <c r="J50" s="85" t="s">
        <v>89</v>
      </c>
      <c r="K50" s="56"/>
      <c r="L50" s="65">
        <f>IF(B15=0,0,IF(B15&gt;L38,L38,B15))</f>
        <v>0</v>
      </c>
      <c r="M50" s="56"/>
      <c r="N50" s="56"/>
      <c r="O50" s="377" t="s">
        <v>90</v>
      </c>
      <c r="P50" s="377"/>
      <c r="Q50" s="377"/>
      <c r="R50" s="324">
        <f>IF(B46&lt;R46,0,B46-R46)</f>
        <v>0</v>
      </c>
      <c r="S50" s="324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</row>
    <row r="51" spans="1:31" ht="15.75" x14ac:dyDescent="0.25">
      <c r="A51" s="255"/>
      <c r="B51" s="56"/>
      <c r="C51" s="56"/>
      <c r="D51" s="56"/>
      <c r="E51" s="56"/>
      <c r="F51" s="56"/>
      <c r="G51" s="56"/>
      <c r="H51" s="256"/>
      <c r="I51" s="237"/>
      <c r="J51" s="85" t="s">
        <v>92</v>
      </c>
      <c r="K51" s="56"/>
      <c r="L51" s="75">
        <f>L50+L36</f>
        <v>0</v>
      </c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</row>
    <row r="52" spans="1:31" ht="16.5" thickBot="1" x14ac:dyDescent="0.3">
      <c r="A52" s="439"/>
      <c r="B52" s="440"/>
      <c r="C52" s="440"/>
      <c r="D52" s="440"/>
      <c r="E52" s="441"/>
      <c r="F52" s="442"/>
      <c r="G52" s="442"/>
      <c r="H52" s="443"/>
      <c r="I52" s="140"/>
      <c r="J52" s="56"/>
      <c r="K52" s="56"/>
      <c r="L52" s="65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</row>
    <row r="53" spans="1:31" ht="15.75" x14ac:dyDescent="0.25">
      <c r="A53" s="444" t="s">
        <v>143</v>
      </c>
      <c r="B53" s="445"/>
      <c r="C53" s="445"/>
      <c r="D53" s="445"/>
      <c r="E53" s="445"/>
      <c r="F53" s="446">
        <f>R36+R40+R46</f>
        <v>0</v>
      </c>
      <c r="G53" s="446"/>
      <c r="H53" s="447"/>
      <c r="I53" s="103"/>
      <c r="J53" s="56"/>
      <c r="K53" s="56"/>
      <c r="L53" s="65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</row>
    <row r="54" spans="1:31" ht="16.5" thickBot="1" x14ac:dyDescent="0.3">
      <c r="A54" s="448" t="s">
        <v>144</v>
      </c>
      <c r="B54" s="449"/>
      <c r="C54" s="449"/>
      <c r="D54" s="449"/>
      <c r="E54" s="449"/>
      <c r="F54" s="450">
        <f>R38+R44+R50</f>
        <v>0</v>
      </c>
      <c r="G54" s="450"/>
      <c r="H54" s="451"/>
      <c r="I54" s="223"/>
      <c r="J54" s="56" t="s">
        <v>37</v>
      </c>
      <c r="K54" s="56"/>
      <c r="L54" s="65">
        <f>G33+G32</f>
        <v>0</v>
      </c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</row>
    <row r="55" spans="1:31" x14ac:dyDescent="0.25">
      <c r="A55" s="108"/>
      <c r="B55" s="108"/>
      <c r="C55" s="108"/>
      <c r="D55" s="108"/>
      <c r="E55" s="108"/>
      <c r="F55" s="108"/>
      <c r="G55" s="108"/>
      <c r="H55" s="108"/>
      <c r="I55" s="60"/>
      <c r="J55" s="56" t="s">
        <v>43</v>
      </c>
      <c r="K55" s="58"/>
      <c r="L55" s="65">
        <f>G34</f>
        <v>0</v>
      </c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</row>
    <row r="56" spans="1:31" x14ac:dyDescent="0.25">
      <c r="A56" s="56"/>
      <c r="B56" s="56"/>
      <c r="C56" s="56"/>
      <c r="D56" s="56"/>
      <c r="E56" s="56"/>
      <c r="F56" s="56"/>
      <c r="G56" s="56"/>
      <c r="H56" s="56"/>
      <c r="I56" s="60"/>
      <c r="J56" s="56" t="s">
        <v>47</v>
      </c>
      <c r="K56" s="56"/>
      <c r="L56" s="75">
        <f>IF(L55&gt;L54,L54,L55)</f>
        <v>0</v>
      </c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</row>
    <row r="57" spans="1:31" x14ac:dyDescent="0.25">
      <c r="A57" s="56"/>
      <c r="B57" s="56"/>
      <c r="C57" s="56"/>
      <c r="D57" s="56"/>
      <c r="E57" s="56"/>
      <c r="F57" s="56"/>
      <c r="G57" s="56"/>
      <c r="H57" s="56"/>
      <c r="I57" s="60"/>
      <c r="J57" s="66" t="s">
        <v>39</v>
      </c>
      <c r="K57" s="62"/>
      <c r="L57" s="65">
        <f>R36*20/80</f>
        <v>0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</row>
    <row r="58" spans="1:31" x14ac:dyDescent="0.25">
      <c r="A58" s="56"/>
      <c r="B58" s="56"/>
      <c r="C58" s="56"/>
      <c r="D58" s="56"/>
      <c r="E58" s="56"/>
      <c r="F58" s="56"/>
      <c r="G58" s="56"/>
      <c r="H58" s="56"/>
      <c r="I58" s="60"/>
      <c r="J58" s="66" t="s">
        <v>40</v>
      </c>
      <c r="K58" s="62"/>
      <c r="L58" s="65">
        <f>B37+B39+L64</f>
        <v>0</v>
      </c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</row>
    <row r="59" spans="1:31" x14ac:dyDescent="0.25">
      <c r="A59" s="56"/>
      <c r="B59" s="56"/>
      <c r="C59" s="56"/>
      <c r="D59" s="56"/>
      <c r="E59" s="56"/>
      <c r="F59" s="56"/>
      <c r="G59" s="56"/>
      <c r="H59" s="56"/>
      <c r="I59" s="82"/>
      <c r="J59" s="66" t="s">
        <v>44</v>
      </c>
      <c r="K59" s="62"/>
      <c r="L59" s="65" t="e">
        <f>IF((R36*100/F53)&gt;70,100-(R36*100/F53),30)</f>
        <v>#DIV/0!</v>
      </c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</row>
    <row r="60" spans="1:31" x14ac:dyDescent="0.25">
      <c r="A60" s="56"/>
      <c r="B60" s="56"/>
      <c r="C60" s="56"/>
      <c r="D60" s="56"/>
      <c r="E60" s="56"/>
      <c r="F60" s="56"/>
      <c r="G60" s="56"/>
      <c r="H60" s="56"/>
      <c r="I60" s="73"/>
      <c r="J60" s="66" t="s">
        <v>106</v>
      </c>
      <c r="K60" s="62"/>
      <c r="L60" s="75">
        <f>IF(B37+B39=0,B38,IF((B38+B37+B39)&gt;L57,L57,(B38+B37+B39)))</f>
        <v>0</v>
      </c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</row>
    <row r="61" spans="1:31" x14ac:dyDescent="0.25">
      <c r="A61" s="56"/>
      <c r="B61" s="56"/>
      <c r="C61" s="56"/>
      <c r="D61" s="56"/>
      <c r="E61" s="56"/>
      <c r="F61" s="56"/>
      <c r="G61" s="56"/>
      <c r="H61" s="56"/>
      <c r="I61" s="77"/>
      <c r="J61" s="85" t="s">
        <v>66</v>
      </c>
      <c r="K61" s="56"/>
      <c r="L61" s="65" t="e">
        <f>B38*100/(R36+B37+B38+B39+B46)</f>
        <v>#DIV/0!</v>
      </c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</row>
    <row r="62" spans="1:31" x14ac:dyDescent="0.25">
      <c r="A62" s="56"/>
      <c r="B62" s="56"/>
      <c r="C62" s="56"/>
      <c r="D62" s="56"/>
      <c r="E62" s="56"/>
      <c r="F62" s="56"/>
      <c r="G62" s="56"/>
      <c r="H62" s="56"/>
      <c r="I62" s="73"/>
      <c r="J62" s="56" t="s">
        <v>108</v>
      </c>
      <c r="K62" s="56"/>
      <c r="L62" s="65">
        <f>0.1*(R36+B37+B38+B39+B46)</f>
        <v>0</v>
      </c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</row>
    <row r="63" spans="1:31" x14ac:dyDescent="0.25">
      <c r="A63" s="56"/>
      <c r="B63" s="56"/>
      <c r="C63" s="56"/>
      <c r="D63" s="56"/>
      <c r="E63" s="56"/>
      <c r="F63" s="56"/>
      <c r="G63" s="56"/>
      <c r="H63" s="56"/>
      <c r="I63" s="73"/>
      <c r="J63" s="56" t="s">
        <v>72</v>
      </c>
      <c r="K63" s="56"/>
      <c r="L63" s="65">
        <f>B38</f>
        <v>0</v>
      </c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</row>
    <row r="64" spans="1:31" x14ac:dyDescent="0.25">
      <c r="A64" s="56"/>
      <c r="B64" s="56"/>
      <c r="C64" s="56"/>
      <c r="D64" s="56"/>
      <c r="E64" s="56"/>
      <c r="F64" s="56"/>
      <c r="G64" s="56"/>
      <c r="H64" s="56"/>
      <c r="I64" s="73"/>
      <c r="J64" s="56" t="s">
        <v>76</v>
      </c>
      <c r="K64" s="56"/>
      <c r="L64" s="65">
        <f>IF(L63&gt;L62,L62,L63)</f>
        <v>0</v>
      </c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</row>
    <row r="65" spans="1:31" x14ac:dyDescent="0.25">
      <c r="A65" s="56"/>
      <c r="B65" s="56"/>
      <c r="C65" s="56"/>
      <c r="D65" s="56"/>
      <c r="E65" s="56"/>
      <c r="F65" s="56"/>
      <c r="G65" s="56"/>
      <c r="H65" s="56"/>
      <c r="I65" s="77"/>
      <c r="J65" s="66"/>
      <c r="K65" s="62"/>
      <c r="L65" s="65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</row>
    <row r="66" spans="1:31" x14ac:dyDescent="0.25">
      <c r="A66" s="56"/>
      <c r="B66" s="56"/>
      <c r="C66" s="56"/>
      <c r="D66" s="56"/>
      <c r="E66" s="56"/>
      <c r="F66" s="56"/>
      <c r="G66" s="56"/>
      <c r="H66" s="56"/>
      <c r="I66" s="77"/>
      <c r="J66" s="66" t="s">
        <v>109</v>
      </c>
      <c r="K66" s="56"/>
      <c r="L66" s="65">
        <f>L62+B37+B39</f>
        <v>0</v>
      </c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</row>
    <row r="67" spans="1:31" x14ac:dyDescent="0.25">
      <c r="A67" s="56"/>
      <c r="B67" s="56"/>
      <c r="C67" s="56"/>
      <c r="D67" s="56"/>
      <c r="E67" s="56"/>
      <c r="F67" s="56"/>
      <c r="G67" s="56"/>
      <c r="H67" s="56"/>
      <c r="I67" s="77"/>
      <c r="J67" s="66" t="s">
        <v>110</v>
      </c>
      <c r="K67" s="56"/>
      <c r="L67" s="65">
        <f>L64+B37+B39</f>
        <v>0</v>
      </c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</row>
    <row r="68" spans="1:31" x14ac:dyDescent="0.25">
      <c r="A68" s="56"/>
      <c r="B68" s="56"/>
      <c r="C68" s="56"/>
      <c r="D68" s="56"/>
      <c r="E68" s="56"/>
      <c r="F68" s="56"/>
      <c r="G68" s="56"/>
      <c r="H68" s="56"/>
      <c r="I68" s="73"/>
      <c r="J68" s="85" t="s">
        <v>81</v>
      </c>
      <c r="K68" s="56"/>
      <c r="L68" s="65">
        <f>B38-(1/0.9)*(B38)+(0.1/0.9)*(R36+B37+B38+B39+B42+B43+B44+B45+B46)</f>
        <v>0</v>
      </c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</row>
    <row r="69" spans="1:31" x14ac:dyDescent="0.25">
      <c r="A69" s="56"/>
      <c r="B69" s="56"/>
      <c r="C69" s="56"/>
      <c r="D69" s="56"/>
      <c r="E69" s="56"/>
      <c r="F69" s="56"/>
      <c r="G69" s="56"/>
      <c r="H69" s="56"/>
      <c r="I69" s="73"/>
      <c r="J69" s="66" t="s">
        <v>111</v>
      </c>
      <c r="K69" s="56"/>
      <c r="L69" s="65">
        <f>IF(L68=0,0,IF(B38&gt;L68,L68,B38))</f>
        <v>0</v>
      </c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</row>
    <row r="70" spans="1:31" x14ac:dyDescent="0.25">
      <c r="A70" s="56"/>
      <c r="B70" s="56"/>
      <c r="C70" s="56"/>
      <c r="D70" s="56"/>
      <c r="E70" s="56"/>
      <c r="F70" s="56"/>
      <c r="G70" s="56"/>
      <c r="H70" s="56"/>
      <c r="I70" s="73"/>
      <c r="J70" s="66" t="s">
        <v>112</v>
      </c>
      <c r="K70" s="56"/>
      <c r="L70" s="65">
        <f>IF(L69&gt;L60,L60,L69)</f>
        <v>0</v>
      </c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</row>
    <row r="71" spans="1:31" x14ac:dyDescent="0.25">
      <c r="A71" s="56"/>
      <c r="B71" s="56"/>
      <c r="C71" s="56"/>
      <c r="D71" s="56"/>
      <c r="E71" s="56"/>
      <c r="F71" s="56"/>
      <c r="G71" s="56"/>
      <c r="H71" s="56"/>
      <c r="I71" s="77"/>
      <c r="J71" s="66" t="s">
        <v>113</v>
      </c>
      <c r="K71" s="56"/>
      <c r="L71" s="65">
        <f>IF(L63&gt;L70,L70,L63)</f>
        <v>0</v>
      </c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</row>
    <row r="72" spans="1:31" x14ac:dyDescent="0.25">
      <c r="A72" s="56"/>
      <c r="B72" s="56"/>
      <c r="C72" s="56"/>
      <c r="D72" s="56"/>
      <c r="E72" s="56"/>
      <c r="F72" s="56"/>
      <c r="G72" s="56"/>
      <c r="H72" s="56"/>
      <c r="I72" s="73"/>
      <c r="J72" s="56"/>
      <c r="K72" s="56"/>
      <c r="L72" s="65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</row>
    <row r="73" spans="1:31" x14ac:dyDescent="0.25">
      <c r="I73" s="178"/>
      <c r="J73" s="1" t="s">
        <v>106</v>
      </c>
      <c r="K73" s="5"/>
      <c r="L73" s="12">
        <f>L71+B37+B39</f>
        <v>0</v>
      </c>
    </row>
    <row r="74" spans="1:31" x14ac:dyDescent="0.25">
      <c r="I74" s="73"/>
    </row>
    <row r="75" spans="1:31" ht="15.75" x14ac:dyDescent="0.25">
      <c r="I75" s="100"/>
      <c r="J75" s="1" t="s">
        <v>59</v>
      </c>
      <c r="K75" s="5"/>
      <c r="L75" s="2">
        <f>IF(L60=L57,0,IF(L60&lt;L57,L57-L60,""))</f>
        <v>0</v>
      </c>
    </row>
    <row r="76" spans="1:31" ht="15.75" x14ac:dyDescent="0.25">
      <c r="I76" s="100"/>
      <c r="J76" s="1" t="s">
        <v>63</v>
      </c>
      <c r="K76" s="5"/>
      <c r="L76" s="2">
        <f>IF(L75&lt;B44+B43+B45+B42,L75,B44+B43+B45+B42)</f>
        <v>0</v>
      </c>
    </row>
    <row r="77" spans="1:31" ht="15.75" x14ac:dyDescent="0.25">
      <c r="I77" s="100"/>
      <c r="J77" s="23" t="s">
        <v>68</v>
      </c>
      <c r="K77" s="5"/>
      <c r="L77" s="24">
        <f>IF(L76=0,0,L76*100/L81)</f>
        <v>0</v>
      </c>
    </row>
    <row r="78" spans="1:31" ht="15.75" x14ac:dyDescent="0.25">
      <c r="I78" s="100"/>
      <c r="J78" s="23" t="s">
        <v>71</v>
      </c>
      <c r="K78" s="5"/>
      <c r="L78" s="12">
        <f>IF(L76=0,0,IF(L77&gt;20,0.25*L81-0.25*L76,L76))</f>
        <v>0</v>
      </c>
    </row>
    <row r="79" spans="1:31" x14ac:dyDescent="0.25">
      <c r="I79" s="56"/>
      <c r="J79" s="23"/>
      <c r="K79" s="5"/>
    </row>
    <row r="80" spans="1:31" x14ac:dyDescent="0.25">
      <c r="I80" s="56"/>
      <c r="J80" s="23"/>
      <c r="K80" s="5"/>
    </row>
    <row r="81" spans="9:12" x14ac:dyDescent="0.25">
      <c r="I81" s="56"/>
      <c r="J81" s="23" t="s">
        <v>75</v>
      </c>
      <c r="K81" s="5"/>
      <c r="L81" s="2">
        <f>R36+R40+L76</f>
        <v>0</v>
      </c>
    </row>
    <row r="82" spans="9:12" x14ac:dyDescent="0.25">
      <c r="I82" s="56"/>
      <c r="J82" s="23" t="s">
        <v>78</v>
      </c>
      <c r="K82" s="1"/>
      <c r="L82" s="2">
        <f>R36+R40+L78</f>
        <v>0</v>
      </c>
    </row>
    <row r="83" spans="9:12" x14ac:dyDescent="0.25">
      <c r="I83" s="56"/>
      <c r="J83" s="1"/>
      <c r="K83" s="1"/>
    </row>
    <row r="84" spans="9:12" x14ac:dyDescent="0.25">
      <c r="J84" s="23" t="s">
        <v>81</v>
      </c>
      <c r="K84" s="1"/>
      <c r="L84" s="2">
        <f>(B43+B44+B45)-(1/0.9)*(B43+B44+B45)+(0.1/0.9)*(R36+R40+B43+B44+B45+B42)</f>
        <v>0</v>
      </c>
    </row>
    <row r="85" spans="9:12" x14ac:dyDescent="0.25">
      <c r="J85" s="23" t="s">
        <v>84</v>
      </c>
      <c r="K85" s="1"/>
      <c r="L85" s="2">
        <f>IF(L84=0,0,IF(B43+B44+B45&gt;L84,L84,B43+B44+B45))</f>
        <v>0</v>
      </c>
    </row>
    <row r="86" spans="9:12" x14ac:dyDescent="0.25">
      <c r="J86" s="23" t="s">
        <v>86</v>
      </c>
      <c r="K86" s="1"/>
      <c r="L86" s="2">
        <f>IF(L85&gt;L78,L78,L85)</f>
        <v>0</v>
      </c>
    </row>
    <row r="87" spans="9:12" x14ac:dyDescent="0.25">
      <c r="J87" s="23" t="s">
        <v>88</v>
      </c>
      <c r="K87" s="1"/>
      <c r="L87" s="24">
        <f>L78-L86</f>
        <v>0</v>
      </c>
    </row>
    <row r="88" spans="9:12" x14ac:dyDescent="0.25">
      <c r="J88" s="23" t="s">
        <v>89</v>
      </c>
      <c r="K88" s="1"/>
      <c r="L88" s="2">
        <f>IF(B42=0,0,IF(B42&gt;L87,L87,B42))</f>
        <v>0</v>
      </c>
    </row>
    <row r="89" spans="9:12" x14ac:dyDescent="0.25">
      <c r="J89" s="23" t="s">
        <v>92</v>
      </c>
      <c r="L89" s="2">
        <f>L88+L86</f>
        <v>0</v>
      </c>
    </row>
    <row r="90" spans="9:12" x14ac:dyDescent="0.25">
      <c r="J90" s="23" t="s">
        <v>78</v>
      </c>
      <c r="L90" s="2">
        <f>R36+R40+L89</f>
        <v>0</v>
      </c>
    </row>
    <row r="91" spans="9:12" x14ac:dyDescent="0.25">
      <c r="J91" s="23"/>
    </row>
    <row r="92" spans="9:12" x14ac:dyDescent="0.25">
      <c r="J92" s="23" t="s">
        <v>95</v>
      </c>
      <c r="L92" s="2">
        <f>0.1*L90</f>
        <v>0</v>
      </c>
    </row>
    <row r="93" spans="9:12" x14ac:dyDescent="0.25">
      <c r="J93" s="23" t="s">
        <v>84</v>
      </c>
      <c r="L93" s="12">
        <f>IF(L92=0,0,IF(B43+B44+B45&gt;L92,L92,B43+B44+B45))</f>
        <v>0</v>
      </c>
    </row>
    <row r="94" spans="9:12" x14ac:dyDescent="0.25">
      <c r="J94" s="23"/>
    </row>
    <row r="95" spans="9:12" x14ac:dyDescent="0.25">
      <c r="J95" s="23" t="s">
        <v>88</v>
      </c>
      <c r="L95" s="2">
        <f>L78-L93</f>
        <v>0</v>
      </c>
    </row>
    <row r="96" spans="9:12" x14ac:dyDescent="0.25">
      <c r="J96" s="23" t="s">
        <v>89</v>
      </c>
      <c r="L96" s="2">
        <f>IF(B42=0,0,IF(B42&gt;L95,L95,B42))</f>
        <v>0</v>
      </c>
    </row>
    <row r="97" spans="10:12" x14ac:dyDescent="0.25">
      <c r="J97" s="23" t="s">
        <v>92</v>
      </c>
      <c r="L97" s="12">
        <f>L96+L93</f>
        <v>0</v>
      </c>
    </row>
  </sheetData>
  <sheetProtection algorithmName="SHA-512" hashValue="dtYmmzwlJPiF5Up4p083HxfGz0KBLKtm5ImabTzX0qSpIbBZBNpHAkEBf09lmKySsdFEtx2y8GJHb5mc/QciNA==" saltValue="jMuymN/XeScd/q95J9iz8g==" spinCount="100000" sheet="1" objects="1" scenarios="1"/>
  <mergeCells count="72">
    <mergeCell ref="A1:H2"/>
    <mergeCell ref="G7:H7"/>
    <mergeCell ref="A3:H3"/>
    <mergeCell ref="G4:H4"/>
    <mergeCell ref="G5:H5"/>
    <mergeCell ref="G6:H6"/>
    <mergeCell ref="G8:H8"/>
    <mergeCell ref="O10:Q10"/>
    <mergeCell ref="R10:S10"/>
    <mergeCell ref="O11:Q11"/>
    <mergeCell ref="O12:Q12"/>
    <mergeCell ref="R12:S12"/>
    <mergeCell ref="O21:Q21"/>
    <mergeCell ref="O13:Q13"/>
    <mergeCell ref="R13:S13"/>
    <mergeCell ref="O14:Q14"/>
    <mergeCell ref="R14:S14"/>
    <mergeCell ref="O15:Q15"/>
    <mergeCell ref="O16:Q16"/>
    <mergeCell ref="R16:S16"/>
    <mergeCell ref="O18:Q18"/>
    <mergeCell ref="R18:S18"/>
    <mergeCell ref="O19:Q19"/>
    <mergeCell ref="O20:Q20"/>
    <mergeCell ref="R20:S20"/>
    <mergeCell ref="O22:Q22"/>
    <mergeCell ref="R22:S22"/>
    <mergeCell ref="D23:F23"/>
    <mergeCell ref="G23:H23"/>
    <mergeCell ref="A24:E24"/>
    <mergeCell ref="F24:H24"/>
    <mergeCell ref="A25:E25"/>
    <mergeCell ref="F25:H25"/>
    <mergeCell ref="A29:H29"/>
    <mergeCell ref="A30:A31"/>
    <mergeCell ref="B30:B31"/>
    <mergeCell ref="C30:C31"/>
    <mergeCell ref="D30:D31"/>
    <mergeCell ref="E30:E31"/>
    <mergeCell ref="F30:F31"/>
    <mergeCell ref="G30:H31"/>
    <mergeCell ref="O36:Q36"/>
    <mergeCell ref="R36:S36"/>
    <mergeCell ref="O37:Q37"/>
    <mergeCell ref="O38:Q38"/>
    <mergeCell ref="R38:S38"/>
    <mergeCell ref="O46:Q46"/>
    <mergeCell ref="R46:S46"/>
    <mergeCell ref="O39:Q39"/>
    <mergeCell ref="R39:S39"/>
    <mergeCell ref="O40:Q40"/>
    <mergeCell ref="R40:S40"/>
    <mergeCell ref="O41:Q41"/>
    <mergeCell ref="O42:Q42"/>
    <mergeCell ref="R42:S42"/>
    <mergeCell ref="O43:Q43"/>
    <mergeCell ref="O44:Q44"/>
    <mergeCell ref="R44:S44"/>
    <mergeCell ref="O45:Q45"/>
    <mergeCell ref="R45:S45"/>
    <mergeCell ref="O47:Q47"/>
    <mergeCell ref="O48:Q48"/>
    <mergeCell ref="R48:S48"/>
    <mergeCell ref="O49:Q49"/>
    <mergeCell ref="O50:Q50"/>
    <mergeCell ref="R50:S50"/>
    <mergeCell ref="A52:E52"/>
    <mergeCell ref="F52:H52"/>
    <mergeCell ref="A53:E53"/>
    <mergeCell ref="F53:H53"/>
    <mergeCell ref="A54:E54"/>
    <mergeCell ref="F54:H54"/>
  </mergeCells>
  <conditionalFormatting sqref="A13 A19 A40 A46">
    <cfRule type="cellIs" dxfId="15" priority="2" stopIfTrue="1" operator="notEqual">
      <formula>0</formula>
    </cfRule>
  </conditionalFormatting>
  <conditionalFormatting sqref="E5:E8 E32:E35">
    <cfRule type="cellIs" dxfId="14" priority="1" stopIfTrue="1" operator="greaterThan">
      <formula>0.9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3629C-B266-42B8-89DE-C913197072A0}">
  <sheetPr>
    <tabColor theme="5" tint="0.59999389629810485"/>
  </sheetPr>
  <dimension ref="A1:AG65"/>
  <sheetViews>
    <sheetView workbookViewId="0">
      <selection activeCell="B5" sqref="B5"/>
    </sheetView>
  </sheetViews>
  <sheetFormatPr baseColWidth="10" defaultRowHeight="15" x14ac:dyDescent="0.25"/>
  <cols>
    <col min="1" max="1" width="30.140625" customWidth="1"/>
    <col min="2" max="2" width="15" customWidth="1"/>
    <col min="3" max="3" width="14" customWidth="1"/>
    <col min="4" max="4" width="19" customWidth="1"/>
    <col min="5" max="5" width="15.7109375" customWidth="1"/>
    <col min="6" max="6" width="15.28515625" customWidth="1"/>
    <col min="7" max="7" width="10" customWidth="1"/>
    <col min="8" max="8" width="5" customWidth="1"/>
    <col min="9" max="9" width="5" hidden="1" customWidth="1"/>
    <col min="10" max="10" width="58" hidden="1" customWidth="1"/>
    <col min="11" max="11" width="5.140625" hidden="1" customWidth="1"/>
    <col min="12" max="12" width="10.28515625" style="2" hidden="1" customWidth="1"/>
    <col min="13" max="13" width="11.42578125" hidden="1" customWidth="1"/>
    <col min="14" max="20" width="0" hidden="1" customWidth="1"/>
  </cols>
  <sheetData>
    <row r="1" spans="1:33" ht="23.25" customHeight="1" x14ac:dyDescent="0.25">
      <c r="A1" s="504" t="s">
        <v>231</v>
      </c>
      <c r="B1" s="505"/>
      <c r="C1" s="505"/>
      <c r="D1" s="505"/>
      <c r="E1" s="505"/>
      <c r="F1" s="505"/>
      <c r="G1" s="505"/>
      <c r="H1" s="506"/>
      <c r="I1" s="3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1:33" ht="16.5" thickBot="1" x14ac:dyDescent="0.3">
      <c r="A2" s="507"/>
      <c r="B2" s="508"/>
      <c r="C2" s="508"/>
      <c r="D2" s="508"/>
      <c r="E2" s="508"/>
      <c r="F2" s="508"/>
      <c r="G2" s="508"/>
      <c r="H2" s="509"/>
      <c r="I2" s="3"/>
      <c r="O2" s="452" t="s">
        <v>58</v>
      </c>
      <c r="P2" s="452"/>
      <c r="Q2" s="452"/>
      <c r="R2" s="453">
        <f>L10</f>
        <v>0</v>
      </c>
      <c r="S2" s="453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1:33" ht="16.5" thickBot="1" x14ac:dyDescent="0.3">
      <c r="A3" s="501" t="s">
        <v>236</v>
      </c>
      <c r="B3" s="502"/>
      <c r="C3" s="502"/>
      <c r="D3" s="502"/>
      <c r="E3" s="502"/>
      <c r="F3" s="502"/>
      <c r="G3" s="502"/>
      <c r="H3" s="503"/>
      <c r="I3" s="3"/>
      <c r="O3" s="454" t="s">
        <v>65</v>
      </c>
      <c r="P3" s="454"/>
      <c r="Q3" s="454"/>
      <c r="R3" s="52">
        <f>IF(F19=0,0,R2*100/F19)</f>
        <v>0</v>
      </c>
      <c r="S3" s="43" t="s">
        <v>56</v>
      </c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</row>
    <row r="4" spans="1:33" ht="56.25" x14ac:dyDescent="0.25">
      <c r="A4" s="194" t="s">
        <v>208</v>
      </c>
      <c r="B4" s="195" t="s">
        <v>210</v>
      </c>
      <c r="C4" s="195" t="s">
        <v>25</v>
      </c>
      <c r="D4" s="195" t="s">
        <v>32</v>
      </c>
      <c r="E4" s="195" t="s">
        <v>27</v>
      </c>
      <c r="F4" s="195" t="s">
        <v>28</v>
      </c>
      <c r="G4" s="461" t="s">
        <v>29</v>
      </c>
      <c r="H4" s="462"/>
      <c r="I4" s="6"/>
      <c r="J4" s="1" t="s">
        <v>158</v>
      </c>
      <c r="K4" s="5"/>
      <c r="L4" s="2">
        <f>G8*80/20</f>
        <v>0</v>
      </c>
      <c r="O4" s="455" t="s">
        <v>64</v>
      </c>
      <c r="P4" s="455"/>
      <c r="Q4" s="455"/>
      <c r="R4" s="453">
        <f>IF(B9&lt;R2,0,B9-R2)</f>
        <v>0</v>
      </c>
      <c r="S4" s="453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</row>
    <row r="5" spans="1:33" x14ac:dyDescent="0.25">
      <c r="A5" s="196" t="s">
        <v>0</v>
      </c>
      <c r="B5" s="309"/>
      <c r="C5" s="13">
        <f>B5/($B$15+0.00001)</f>
        <v>0</v>
      </c>
      <c r="D5" s="7">
        <f>IF(C5&lt;60%,B5,1.5*(B6+B7+B8))</f>
        <v>0</v>
      </c>
      <c r="E5" s="13">
        <f>G5/(F$19+0.00001)</f>
        <v>0</v>
      </c>
      <c r="F5" s="7">
        <f>IF(OR($D$6=$B$9,$D$7=$B$9,$D$8=$B$9,$D$5=$B$9,C5=100%),0,D5)</f>
        <v>0</v>
      </c>
      <c r="G5" s="482">
        <f>F5</f>
        <v>0</v>
      </c>
      <c r="H5" s="483"/>
      <c r="I5" s="10"/>
      <c r="J5" s="1" t="s">
        <v>41</v>
      </c>
      <c r="K5" s="5"/>
      <c r="L5" s="2">
        <f>SUM(G5,G6,G7,B12)</f>
        <v>0</v>
      </c>
      <c r="O5" s="397"/>
      <c r="P5" s="397"/>
      <c r="Q5" s="397"/>
      <c r="R5" s="398"/>
      <c r="S5" s="398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</row>
    <row r="6" spans="1:33" x14ac:dyDescent="0.25">
      <c r="A6" s="196" t="s">
        <v>1</v>
      </c>
      <c r="B6" s="309"/>
      <c r="C6" s="13">
        <f>B6/($B$15+0.00001)</f>
        <v>0</v>
      </c>
      <c r="D6" s="7">
        <f>IF(C6&lt;60%,B6,1.5*(B7+B8+B5))</f>
        <v>0</v>
      </c>
      <c r="E6" s="13">
        <f>G6/(F$19+0.00001)</f>
        <v>0</v>
      </c>
      <c r="F6" s="7">
        <f>IF(OR($D$6=$B$9,$D$7=$B$9,$D$8=$B$9,$D$5=$B$9,C6=100%),0,D6)</f>
        <v>0</v>
      </c>
      <c r="G6" s="482">
        <f>F6</f>
        <v>0</v>
      </c>
      <c r="H6" s="483"/>
      <c r="I6" s="10"/>
      <c r="J6" s="1" t="s">
        <v>45</v>
      </c>
      <c r="K6" s="5"/>
      <c r="L6" s="2">
        <f>IF(L5&gt;L4,L4,L5)</f>
        <v>0</v>
      </c>
      <c r="O6" s="452" t="s">
        <v>70</v>
      </c>
      <c r="P6" s="452"/>
      <c r="Q6" s="452"/>
      <c r="R6" s="453">
        <f>L24</f>
        <v>0</v>
      </c>
      <c r="S6" s="453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33" x14ac:dyDescent="0.25">
      <c r="A7" s="196" t="s">
        <v>124</v>
      </c>
      <c r="B7" s="309"/>
      <c r="C7" s="13">
        <f>B7/($B$15+0.00001)</f>
        <v>0</v>
      </c>
      <c r="D7" s="7">
        <f>IF(C7&lt;60%,B7,1.5*(B8+B6+B5))</f>
        <v>0</v>
      </c>
      <c r="E7" s="13">
        <f>G7/(F$19+0.00001)</f>
        <v>0</v>
      </c>
      <c r="F7" s="7">
        <f>IF(OR($D$6=$B$9,$D$7=$B$9,$D$8=$B$9,$D$5=$B$9,C7=100%),0,D7)</f>
        <v>0</v>
      </c>
      <c r="G7" s="482">
        <f>F7</f>
        <v>0</v>
      </c>
      <c r="H7" s="483"/>
      <c r="I7" s="10"/>
      <c r="J7" s="1"/>
      <c r="K7" s="5"/>
      <c r="O7" s="454" t="s">
        <v>74</v>
      </c>
      <c r="P7" s="454"/>
      <c r="Q7" s="454"/>
      <c r="R7" s="52">
        <f>IF(F19=0,0,R6*100/F19)</f>
        <v>0</v>
      </c>
      <c r="S7" s="43" t="s">
        <v>56</v>
      </c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</row>
    <row r="8" spans="1:33" ht="15.75" thickBot="1" x14ac:dyDescent="0.3">
      <c r="A8" s="196" t="s">
        <v>52</v>
      </c>
      <c r="B8" s="309"/>
      <c r="C8" s="197">
        <f>B8/($B$15+0.00001)</f>
        <v>0</v>
      </c>
      <c r="D8" s="198">
        <f>IF(C8&lt;60%,B8,1.5*(B5+B7+B6))</f>
        <v>0</v>
      </c>
      <c r="E8" s="197">
        <f>G8/(F$19+0.00001)</f>
        <v>0</v>
      </c>
      <c r="F8" s="198">
        <f>IF(OR($D$6=$B$9,$D$7=$B$9,$D$8=$B$9,$D$5=$B$9,C8=100%),0,D8)</f>
        <v>0</v>
      </c>
      <c r="G8" s="496">
        <f>F8</f>
        <v>0</v>
      </c>
      <c r="H8" s="497"/>
      <c r="I8" s="10"/>
      <c r="O8" s="494" t="s">
        <v>77</v>
      </c>
      <c r="P8" s="494"/>
      <c r="Q8" s="494"/>
      <c r="R8" s="495">
        <f>IF(B13&lt;R6,0,B13-R6)</f>
        <v>0</v>
      </c>
      <c r="S8" s="495"/>
      <c r="U8" s="107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</row>
    <row r="9" spans="1:33" ht="16.5" thickBot="1" x14ac:dyDescent="0.3">
      <c r="A9" s="192" t="s">
        <v>204</v>
      </c>
      <c r="B9" s="193">
        <f>SUM(B5:B8)</f>
        <v>0</v>
      </c>
      <c r="C9" s="498" t="s">
        <v>196</v>
      </c>
      <c r="D9" s="498"/>
      <c r="E9" s="498"/>
      <c r="F9" s="498"/>
      <c r="G9" s="231">
        <f>IF(F19=0,0,G8*100/F19)</f>
        <v>0</v>
      </c>
      <c r="H9" s="267" t="s">
        <v>56</v>
      </c>
      <c r="I9" s="105"/>
      <c r="J9" s="66" t="s">
        <v>57</v>
      </c>
      <c r="K9" s="62"/>
      <c r="L9" s="65">
        <f>G5+G6+G7+G8</f>
        <v>0</v>
      </c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</row>
    <row r="10" spans="1:33" x14ac:dyDescent="0.25">
      <c r="A10" s="268"/>
      <c r="B10" s="108"/>
      <c r="C10" s="61"/>
      <c r="D10" s="61"/>
      <c r="E10" s="72"/>
      <c r="F10" s="56"/>
      <c r="G10" s="200"/>
      <c r="H10" s="269"/>
      <c r="I10" s="19"/>
      <c r="J10" s="1" t="s">
        <v>60</v>
      </c>
      <c r="K10" s="5"/>
      <c r="L10" s="2">
        <f>IF((G5+G6+G7)&gt;L6+G8,L6,G5+G6+G7+G8)</f>
        <v>0</v>
      </c>
      <c r="U10" s="108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</row>
    <row r="11" spans="1:33" ht="15.75" thickBot="1" x14ac:dyDescent="0.3">
      <c r="A11" s="499"/>
      <c r="B11" s="500"/>
      <c r="C11" s="62"/>
      <c r="D11" s="56"/>
      <c r="E11" s="56"/>
      <c r="F11" s="56"/>
      <c r="G11" s="56"/>
      <c r="H11" s="256"/>
      <c r="I11" s="20"/>
      <c r="J11" s="1"/>
      <c r="K11" s="5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</row>
    <row r="12" spans="1:33" x14ac:dyDescent="0.25">
      <c r="A12" s="128" t="s">
        <v>49</v>
      </c>
      <c r="B12" s="310"/>
      <c r="C12" s="103"/>
      <c r="D12" s="56"/>
      <c r="E12" s="56"/>
      <c r="F12" s="56"/>
      <c r="G12" s="56"/>
      <c r="H12" s="256"/>
      <c r="I12" s="22"/>
      <c r="J12" s="1"/>
      <c r="K12" s="5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33" ht="15.75" thickBot="1" x14ac:dyDescent="0.3">
      <c r="A13" s="123" t="s">
        <v>205</v>
      </c>
      <c r="B13" s="188">
        <f>B12</f>
        <v>0</v>
      </c>
      <c r="C13" s="113"/>
      <c r="D13" s="56"/>
      <c r="E13" s="56"/>
      <c r="F13" s="56"/>
      <c r="G13" s="56"/>
      <c r="H13" s="256"/>
      <c r="I13" s="20"/>
      <c r="K13" s="4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</row>
    <row r="14" spans="1:33" ht="15.75" thickBot="1" x14ac:dyDescent="0.3">
      <c r="A14" s="270"/>
      <c r="B14" s="120"/>
      <c r="C14" s="56"/>
      <c r="D14" s="107"/>
      <c r="E14" s="56"/>
      <c r="F14" s="56"/>
      <c r="G14" s="56"/>
      <c r="H14" s="256"/>
      <c r="I14" s="20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</row>
    <row r="15" spans="1:33" ht="17.25" thickBot="1" x14ac:dyDescent="0.3">
      <c r="A15" s="190" t="s">
        <v>207</v>
      </c>
      <c r="B15" s="191">
        <f>B13+B9</f>
        <v>0</v>
      </c>
      <c r="D15" s="141"/>
      <c r="E15" s="103"/>
      <c r="F15" s="56"/>
      <c r="G15" s="56"/>
      <c r="H15" s="256"/>
      <c r="I15" s="20"/>
      <c r="J15" s="1" t="s">
        <v>39</v>
      </c>
      <c r="K15" s="5"/>
      <c r="L15" s="2">
        <f>R2*20/80</f>
        <v>0</v>
      </c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</row>
    <row r="16" spans="1:33" ht="16.5" x14ac:dyDescent="0.25">
      <c r="A16" s="271"/>
      <c r="B16" s="189"/>
      <c r="C16" s="56"/>
      <c r="D16" s="108"/>
      <c r="E16" s="56"/>
      <c r="F16" s="56"/>
      <c r="G16" s="56"/>
      <c r="H16" s="256"/>
      <c r="I16" s="20"/>
      <c r="J16" s="1"/>
      <c r="K16" s="5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</row>
    <row r="17" spans="1:33" ht="16.5" x14ac:dyDescent="0.25">
      <c r="A17" s="272"/>
      <c r="B17" s="61"/>
      <c r="C17" s="56"/>
      <c r="D17" s="56"/>
      <c r="E17" s="56"/>
      <c r="F17" s="56"/>
      <c r="G17" s="56"/>
      <c r="H17" s="256"/>
      <c r="I17" s="20"/>
      <c r="J17" s="1"/>
      <c r="K17" s="5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 ht="17.25" thickBot="1" x14ac:dyDescent="0.3">
      <c r="A18" s="273"/>
      <c r="B18" s="182"/>
      <c r="C18" s="107"/>
      <c r="D18" s="116"/>
      <c r="E18" s="116"/>
      <c r="F18" s="116"/>
      <c r="G18" s="117"/>
      <c r="H18" s="266"/>
      <c r="I18" s="20"/>
      <c r="J18" s="1"/>
      <c r="K18" s="5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 ht="15.75" x14ac:dyDescent="0.25">
      <c r="A19" s="416" t="s">
        <v>134</v>
      </c>
      <c r="B19" s="417"/>
      <c r="C19" s="417"/>
      <c r="D19" s="417"/>
      <c r="E19" s="417"/>
      <c r="F19" s="412">
        <f>R2+R6</f>
        <v>0</v>
      </c>
      <c r="G19" s="412"/>
      <c r="H19" s="413"/>
      <c r="I19" s="20"/>
      <c r="J19" s="1"/>
      <c r="K19" s="5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</row>
    <row r="20" spans="1:33" ht="16.5" thickBot="1" x14ac:dyDescent="0.3">
      <c r="A20" s="448" t="s">
        <v>135</v>
      </c>
      <c r="B20" s="449"/>
      <c r="C20" s="449"/>
      <c r="D20" s="449"/>
      <c r="E20" s="449"/>
      <c r="F20" s="450">
        <f>R4+R8</f>
        <v>0</v>
      </c>
      <c r="G20" s="450"/>
      <c r="H20" s="451"/>
      <c r="I20" s="20"/>
      <c r="J20" s="1"/>
      <c r="K20" s="5"/>
      <c r="U20" s="107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</row>
    <row r="21" spans="1:33" ht="16.5" x14ac:dyDescent="0.25">
      <c r="A21" s="271"/>
      <c r="B21" s="189"/>
      <c r="C21" s="108"/>
      <c r="D21" s="199"/>
      <c r="E21" s="199"/>
      <c r="F21" s="199"/>
      <c r="G21" s="181"/>
      <c r="H21" s="274"/>
      <c r="I21" s="218"/>
      <c r="J21" s="66"/>
      <c r="K21" s="62"/>
      <c r="L21" s="65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</row>
    <row r="22" spans="1:33" ht="15" customHeight="1" x14ac:dyDescent="0.25">
      <c r="A22" s="255"/>
      <c r="B22" s="56"/>
      <c r="C22" s="56"/>
      <c r="D22" s="56"/>
      <c r="E22" s="56"/>
      <c r="F22" s="56"/>
      <c r="G22" s="56"/>
      <c r="H22" s="256"/>
      <c r="I22" s="232"/>
      <c r="J22" s="66" t="s">
        <v>40</v>
      </c>
      <c r="K22" s="62"/>
      <c r="L22" s="65">
        <f>B13</f>
        <v>0</v>
      </c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</row>
    <row r="23" spans="1:33" ht="15" customHeight="1" thickBot="1" x14ac:dyDescent="0.3">
      <c r="A23" s="257"/>
      <c r="B23" s="107"/>
      <c r="C23" s="107"/>
      <c r="D23" s="107"/>
      <c r="E23" s="107"/>
      <c r="F23" s="107"/>
      <c r="G23" s="107"/>
      <c r="H23" s="258"/>
      <c r="I23" s="218"/>
      <c r="J23" s="66" t="s">
        <v>44</v>
      </c>
      <c r="K23" s="62"/>
      <c r="L23" s="65" t="e">
        <f>IF((R2*100/B15)&gt;80,100-(R2*100/B15),20)</f>
        <v>#DIV/0!</v>
      </c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 ht="16.5" thickBot="1" x14ac:dyDescent="0.3">
      <c r="A24" s="456" t="s">
        <v>235</v>
      </c>
      <c r="B24" s="457"/>
      <c r="C24" s="457"/>
      <c r="D24" s="457"/>
      <c r="E24" s="457"/>
      <c r="F24" s="457"/>
      <c r="G24" s="457"/>
      <c r="H24" s="458"/>
      <c r="I24" s="20"/>
      <c r="J24" s="1" t="s">
        <v>50</v>
      </c>
      <c r="K24" s="5"/>
      <c r="L24" s="12">
        <f>IF(B13&gt;L15,L15,B13)</f>
        <v>0</v>
      </c>
      <c r="N24" s="492" t="s">
        <v>58</v>
      </c>
      <c r="O24" s="492"/>
      <c r="P24" s="492"/>
      <c r="Q24" s="493">
        <f>SUM(D27:D29)</f>
        <v>0</v>
      </c>
      <c r="R24" s="493"/>
      <c r="U24" s="108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</row>
    <row r="25" spans="1:33" ht="15.75" x14ac:dyDescent="0.25">
      <c r="A25" s="459" t="s">
        <v>208</v>
      </c>
      <c r="B25" s="461" t="s">
        <v>210</v>
      </c>
      <c r="C25" s="461" t="s">
        <v>25</v>
      </c>
      <c r="D25" s="461" t="s">
        <v>32</v>
      </c>
      <c r="E25" s="461" t="s">
        <v>27</v>
      </c>
      <c r="F25" s="488"/>
      <c r="G25" s="488"/>
      <c r="H25" s="490"/>
      <c r="I25" s="32"/>
      <c r="J25" s="23"/>
      <c r="K25" s="1"/>
      <c r="N25" s="454" t="s">
        <v>62</v>
      </c>
      <c r="O25" s="454"/>
      <c r="P25" s="454"/>
      <c r="Q25" s="52">
        <f>IF(F35=0,0,Q24*100/F35)</f>
        <v>0</v>
      </c>
      <c r="R25" s="43" t="s">
        <v>56</v>
      </c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</row>
    <row r="26" spans="1:33" ht="15.75" x14ac:dyDescent="0.25">
      <c r="A26" s="460"/>
      <c r="B26" s="402"/>
      <c r="C26" s="402"/>
      <c r="D26" s="402"/>
      <c r="E26" s="402"/>
      <c r="F26" s="489"/>
      <c r="G26" s="489"/>
      <c r="H26" s="491"/>
      <c r="I26" s="32"/>
      <c r="J26" s="23"/>
      <c r="K26" s="1"/>
      <c r="N26" s="455" t="s">
        <v>64</v>
      </c>
      <c r="O26" s="455"/>
      <c r="P26" s="455"/>
      <c r="Q26" s="453">
        <f>IF(B30&lt;Q24,0,B30-Q24)</f>
        <v>0</v>
      </c>
      <c r="R26" s="453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</row>
    <row r="27" spans="1:33" ht="15.75" x14ac:dyDescent="0.25">
      <c r="A27" s="196" t="s">
        <v>0</v>
      </c>
      <c r="B27" s="309"/>
      <c r="C27" s="13">
        <f>B27/($B$30+0.00001)</f>
        <v>0</v>
      </c>
      <c r="D27" s="7">
        <f>IF(C27&lt;60%,B27,1.5*(B28+B29))</f>
        <v>0</v>
      </c>
      <c r="E27" s="13">
        <f>D27/(F$35+0.00001)</f>
        <v>0</v>
      </c>
      <c r="F27" s="7"/>
      <c r="G27" s="482"/>
      <c r="H27" s="483"/>
      <c r="I27" s="32"/>
      <c r="J27" s="23"/>
      <c r="K27" s="1"/>
      <c r="L27" s="24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</row>
    <row r="28" spans="1:33" ht="15.75" x14ac:dyDescent="0.25">
      <c r="A28" s="196" t="s">
        <v>1</v>
      </c>
      <c r="B28" s="309"/>
      <c r="C28" s="13">
        <f t="shared" ref="C28:C29" si="0">B28/($B$30+0.00001)</f>
        <v>0</v>
      </c>
      <c r="D28" s="7">
        <f>IF(C28&lt;60%,B28,1.5*(B29+B27))</f>
        <v>0</v>
      </c>
      <c r="E28" s="9">
        <f>D28/(F$35+0.00001)</f>
        <v>0</v>
      </c>
      <c r="F28" s="8"/>
      <c r="G28" s="484"/>
      <c r="H28" s="485"/>
      <c r="I28" s="32"/>
      <c r="J28" s="23"/>
      <c r="K28" s="1"/>
      <c r="L28" s="24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</row>
    <row r="29" spans="1:33" ht="15.75" thickBot="1" x14ac:dyDescent="0.3">
      <c r="A29" s="196" t="s">
        <v>124</v>
      </c>
      <c r="B29" s="309"/>
      <c r="C29" s="197">
        <f t="shared" si="0"/>
        <v>0</v>
      </c>
      <c r="D29" s="198">
        <f>IF(C29&lt;60%,B29,1.5*(B28+B27))</f>
        <v>0</v>
      </c>
      <c r="E29" s="201">
        <f>D29/(F$35+0.00001)</f>
        <v>0</v>
      </c>
      <c r="F29" s="202"/>
      <c r="G29" s="486"/>
      <c r="H29" s="487"/>
      <c r="I29" s="22"/>
      <c r="J29" s="23"/>
      <c r="K29" s="1"/>
      <c r="U29" s="107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1:33" ht="16.5" thickBot="1" x14ac:dyDescent="0.3">
      <c r="A30" s="192" t="s">
        <v>204</v>
      </c>
      <c r="B30" s="193">
        <f>SUM(B27:B29)</f>
        <v>0</v>
      </c>
      <c r="C30" s="144"/>
      <c r="D30" s="189"/>
      <c r="E30" s="185"/>
      <c r="F30" s="108"/>
      <c r="G30" s="200"/>
      <c r="H30" s="269"/>
      <c r="I30" s="218"/>
      <c r="J30" s="85"/>
      <c r="K30" s="56"/>
      <c r="L30" s="65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33" ht="15.75" x14ac:dyDescent="0.25">
      <c r="A31" s="268"/>
      <c r="B31" s="108"/>
      <c r="C31" s="108"/>
      <c r="D31" s="108"/>
      <c r="E31" s="108"/>
      <c r="F31" s="108"/>
      <c r="G31" s="108"/>
      <c r="H31" s="260"/>
      <c r="I31" s="32"/>
      <c r="J31" s="23"/>
      <c r="U31" s="108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1:33" ht="15.75" x14ac:dyDescent="0.25">
      <c r="A32" s="255"/>
      <c r="B32" s="56"/>
      <c r="C32" s="56"/>
      <c r="D32" s="56"/>
      <c r="E32" s="56"/>
      <c r="F32" s="56"/>
      <c r="G32" s="56"/>
      <c r="H32" s="256"/>
      <c r="I32" s="3"/>
      <c r="J32" s="23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1:33" ht="15.75" x14ac:dyDescent="0.25">
      <c r="A33" s="255"/>
      <c r="B33" s="56"/>
      <c r="C33" s="56"/>
      <c r="D33" s="56"/>
      <c r="E33" s="56"/>
      <c r="F33" s="56"/>
      <c r="G33" s="56"/>
      <c r="H33" s="256"/>
      <c r="I33" s="3"/>
      <c r="J33" s="23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1:33" ht="16.5" thickBot="1" x14ac:dyDescent="0.3">
      <c r="A34" s="257"/>
      <c r="B34" s="107"/>
      <c r="C34" s="107"/>
      <c r="D34" s="107"/>
      <c r="E34" s="107"/>
      <c r="F34" s="107"/>
      <c r="G34" s="107"/>
      <c r="H34" s="258"/>
      <c r="I34" s="3"/>
      <c r="J34" s="23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1:33" ht="15.75" x14ac:dyDescent="0.25">
      <c r="A35" s="444" t="s">
        <v>136</v>
      </c>
      <c r="B35" s="445"/>
      <c r="C35" s="445"/>
      <c r="D35" s="445"/>
      <c r="E35" s="445"/>
      <c r="F35" s="446">
        <f>Q24</f>
        <v>0</v>
      </c>
      <c r="G35" s="446"/>
      <c r="H35" s="447"/>
      <c r="I35" s="3"/>
      <c r="J35" s="23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1:33" ht="16.5" thickBot="1" x14ac:dyDescent="0.3">
      <c r="A36" s="448" t="s">
        <v>137</v>
      </c>
      <c r="B36" s="449"/>
      <c r="C36" s="449"/>
      <c r="D36" s="449"/>
      <c r="E36" s="449"/>
      <c r="F36" s="450">
        <f>Q26</f>
        <v>0</v>
      </c>
      <c r="G36" s="450"/>
      <c r="H36" s="451"/>
      <c r="I36" s="6"/>
      <c r="J36" s="23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</row>
    <row r="37" spans="1:33" x14ac:dyDescent="0.25">
      <c r="A37" s="108"/>
      <c r="B37" s="108"/>
      <c r="C37" s="108"/>
      <c r="D37" s="108"/>
      <c r="E37" s="108"/>
      <c r="F37" s="108"/>
      <c r="G37" s="108"/>
      <c r="H37" s="108"/>
      <c r="I37" s="10"/>
      <c r="J37" s="23"/>
      <c r="U37" s="107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</row>
    <row r="38" spans="1:33" x14ac:dyDescent="0.25">
      <c r="A38" s="108"/>
      <c r="B38" s="108"/>
      <c r="C38" s="108"/>
      <c r="D38" s="108"/>
      <c r="E38" s="108"/>
      <c r="F38" s="108"/>
      <c r="G38" s="108"/>
      <c r="H38" s="108"/>
      <c r="I38" s="60"/>
      <c r="J38" s="85"/>
      <c r="K38" s="56"/>
      <c r="L38" s="6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</row>
    <row r="39" spans="1:33" ht="15.75" x14ac:dyDescent="0.25">
      <c r="A39" s="57"/>
      <c r="B39" s="61"/>
      <c r="C39" s="61"/>
      <c r="D39" s="61"/>
      <c r="E39" s="72"/>
      <c r="F39" s="56"/>
      <c r="G39" s="82"/>
      <c r="H39" s="82"/>
      <c r="I39" s="60"/>
      <c r="J39" s="85"/>
      <c r="K39" s="56"/>
      <c r="L39" s="65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</row>
    <row r="40" spans="1:33" ht="15.75" x14ac:dyDescent="0.25">
      <c r="A40" s="57"/>
      <c r="B40" s="61"/>
      <c r="C40" s="61"/>
      <c r="D40" s="61"/>
      <c r="E40" s="72"/>
      <c r="F40" s="56"/>
      <c r="G40" s="82"/>
      <c r="H40" s="82"/>
      <c r="I40" s="60"/>
      <c r="J40" s="85"/>
      <c r="K40" s="56"/>
      <c r="L40" s="65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</row>
    <row r="41" spans="1:33" ht="15.75" x14ac:dyDescent="0.25">
      <c r="A41" s="57"/>
      <c r="B41" s="61"/>
      <c r="C41" s="61"/>
      <c r="D41" s="61"/>
      <c r="E41" s="72"/>
      <c r="F41" s="56"/>
      <c r="G41" s="82"/>
      <c r="H41" s="82"/>
      <c r="I41" s="60"/>
      <c r="J41" s="85"/>
      <c r="K41" s="56"/>
      <c r="L41" s="65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</row>
    <row r="42" spans="1:33" ht="15.75" x14ac:dyDescent="0.25">
      <c r="A42" s="57"/>
      <c r="B42" s="61"/>
      <c r="C42" s="61"/>
      <c r="D42" s="61"/>
      <c r="E42" s="72"/>
      <c r="F42" s="56"/>
      <c r="G42" s="82"/>
      <c r="H42" s="82"/>
      <c r="I42" s="60"/>
      <c r="J42" s="85"/>
      <c r="K42" s="56"/>
      <c r="L42" s="65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</row>
    <row r="43" spans="1:33" ht="15.75" x14ac:dyDescent="0.25">
      <c r="A43" s="57"/>
      <c r="B43" s="61"/>
      <c r="C43" s="61"/>
      <c r="D43" s="61"/>
      <c r="E43" s="72"/>
      <c r="F43" s="56"/>
      <c r="G43" s="82"/>
      <c r="H43" s="82"/>
      <c r="I43" s="60"/>
      <c r="J43" s="85"/>
      <c r="K43" s="56"/>
      <c r="L43" s="65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</row>
    <row r="44" spans="1:33" ht="15.75" x14ac:dyDescent="0.25">
      <c r="A44" s="57"/>
      <c r="B44" s="61"/>
      <c r="C44" s="61"/>
      <c r="D44" s="61"/>
      <c r="E44" s="72"/>
      <c r="F44" s="56"/>
      <c r="G44" s="82"/>
      <c r="H44" s="82"/>
      <c r="I44" s="60"/>
      <c r="J44" s="85"/>
      <c r="K44" s="56"/>
      <c r="L44" s="65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</row>
    <row r="45" spans="1:33" ht="15.75" x14ac:dyDescent="0.25">
      <c r="A45" s="57"/>
      <c r="B45" s="61"/>
      <c r="C45" s="61"/>
      <c r="D45" s="61"/>
      <c r="E45" s="72"/>
      <c r="F45" s="56"/>
      <c r="G45" s="82"/>
      <c r="H45" s="82"/>
      <c r="I45" s="60"/>
      <c r="J45" s="85"/>
      <c r="K45" s="56"/>
      <c r="L45" s="65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</row>
    <row r="46" spans="1:33" ht="15.75" x14ac:dyDescent="0.25">
      <c r="A46" s="57"/>
      <c r="B46" s="61"/>
      <c r="C46" s="61"/>
      <c r="D46" s="61"/>
      <c r="E46" s="72"/>
      <c r="F46" s="56"/>
      <c r="G46" s="82"/>
      <c r="H46" s="82"/>
      <c r="I46" s="60"/>
      <c r="J46" s="85"/>
      <c r="K46" s="56"/>
      <c r="L46" s="65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</row>
    <row r="47" spans="1:33" ht="15.75" x14ac:dyDescent="0.25">
      <c r="A47" s="57"/>
      <c r="B47" s="61"/>
      <c r="C47" s="61"/>
      <c r="D47" s="61"/>
      <c r="E47" s="72"/>
      <c r="F47" s="56"/>
      <c r="G47" s="82"/>
      <c r="H47" s="82"/>
      <c r="I47" s="60"/>
      <c r="J47" s="85"/>
      <c r="K47" s="56"/>
      <c r="L47" s="65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</row>
    <row r="48" spans="1:33" ht="15.75" x14ac:dyDescent="0.25">
      <c r="A48" s="3"/>
      <c r="B48" s="18"/>
      <c r="C48" s="18"/>
      <c r="D48" s="18"/>
      <c r="E48" s="16"/>
      <c r="G48" s="19"/>
      <c r="H48" s="19"/>
      <c r="I48" s="10"/>
      <c r="J48" s="23"/>
    </row>
    <row r="49" spans="1:11" ht="15.75" x14ac:dyDescent="0.25">
      <c r="A49" s="3"/>
      <c r="B49" s="18"/>
      <c r="C49" s="18"/>
      <c r="D49" s="18"/>
      <c r="E49" s="16"/>
      <c r="G49" s="19"/>
      <c r="H49" s="19"/>
      <c r="I49" s="10"/>
      <c r="J49" s="23"/>
    </row>
    <row r="50" spans="1:11" x14ac:dyDescent="0.25">
      <c r="A50" s="388"/>
      <c r="B50" s="388"/>
      <c r="C50" s="5"/>
      <c r="I50" s="10"/>
      <c r="J50" s="23"/>
    </row>
    <row r="51" spans="1:11" x14ac:dyDescent="0.25">
      <c r="A51" s="36"/>
      <c r="I51" s="19"/>
    </row>
    <row r="52" spans="1:11" x14ac:dyDescent="0.25">
      <c r="A52" s="36"/>
      <c r="I52" s="20"/>
    </row>
    <row r="53" spans="1:11" ht="15.75" x14ac:dyDescent="0.25">
      <c r="A53" s="40"/>
      <c r="B53" s="40"/>
      <c r="C53" s="40"/>
      <c r="D53" s="40"/>
      <c r="E53" s="40"/>
      <c r="F53" s="54"/>
      <c r="G53" s="54"/>
      <c r="H53" s="54"/>
      <c r="I53" s="22"/>
    </row>
    <row r="54" spans="1:11" x14ac:dyDescent="0.25">
      <c r="I54" s="20"/>
    </row>
    <row r="55" spans="1:11" ht="15.75" x14ac:dyDescent="0.25">
      <c r="A55" s="40"/>
      <c r="B55" s="40"/>
      <c r="C55" s="40"/>
      <c r="D55" s="40"/>
      <c r="E55" s="40"/>
      <c r="F55" s="54"/>
      <c r="G55" s="54"/>
      <c r="H55" s="54"/>
      <c r="I55" s="32"/>
    </row>
    <row r="56" spans="1:11" ht="15.75" x14ac:dyDescent="0.25">
      <c r="I56" s="32"/>
    </row>
    <row r="57" spans="1:11" ht="15.75" x14ac:dyDescent="0.25">
      <c r="I57" s="32"/>
    </row>
    <row r="58" spans="1:11" ht="15.75" x14ac:dyDescent="0.25">
      <c r="I58" s="32"/>
      <c r="J58" s="1"/>
      <c r="K58" s="5"/>
    </row>
    <row r="59" spans="1:11" x14ac:dyDescent="0.25">
      <c r="J59" s="1"/>
      <c r="K59" s="5"/>
    </row>
    <row r="60" spans="1:11" x14ac:dyDescent="0.25">
      <c r="J60" s="1"/>
      <c r="K60" s="5"/>
    </row>
    <row r="61" spans="1:11" x14ac:dyDescent="0.25">
      <c r="J61" s="1"/>
      <c r="K61" s="5"/>
    </row>
    <row r="62" spans="1:11" x14ac:dyDescent="0.25">
      <c r="J62" s="1"/>
      <c r="K62" s="5"/>
    </row>
    <row r="63" spans="1:11" x14ac:dyDescent="0.25">
      <c r="J63" s="1"/>
      <c r="K63" s="5"/>
    </row>
    <row r="65" spans="10:11" x14ac:dyDescent="0.25">
      <c r="J65" s="1"/>
      <c r="K65" s="5"/>
    </row>
  </sheetData>
  <sheetProtection algorithmName="SHA-512" hashValue="61uFwPgHZD3LfqJ1YK5+Mb6hwg0utVuq0DUyrzqQokewJMaE7tvopSPCXY33mt/lcuNUgS5vwc9fdTJ0DH2CfQ==" saltValue="5dlI8CjW0Ri3cVs1gqa8hA==" spinCount="100000" sheet="1" objects="1" scenarios="1"/>
  <mergeCells count="46">
    <mergeCell ref="C9:F9"/>
    <mergeCell ref="A11:B11"/>
    <mergeCell ref="O2:Q2"/>
    <mergeCell ref="R2:S2"/>
    <mergeCell ref="O3:Q3"/>
    <mergeCell ref="A3:H3"/>
    <mergeCell ref="G4:H4"/>
    <mergeCell ref="G5:H5"/>
    <mergeCell ref="G6:H6"/>
    <mergeCell ref="A1:H2"/>
    <mergeCell ref="Q24:R24"/>
    <mergeCell ref="A20:E20"/>
    <mergeCell ref="F20:H20"/>
    <mergeCell ref="O4:Q4"/>
    <mergeCell ref="R4:S4"/>
    <mergeCell ref="O5:Q5"/>
    <mergeCell ref="R5:S5"/>
    <mergeCell ref="O6:Q6"/>
    <mergeCell ref="R6:S6"/>
    <mergeCell ref="O7:Q7"/>
    <mergeCell ref="O8:Q8"/>
    <mergeCell ref="R8:S8"/>
    <mergeCell ref="A19:E19"/>
    <mergeCell ref="F19:H19"/>
    <mergeCell ref="G7:H7"/>
    <mergeCell ref="G8:H8"/>
    <mergeCell ref="N25:P25"/>
    <mergeCell ref="A24:H24"/>
    <mergeCell ref="A25:A26"/>
    <mergeCell ref="B25:B26"/>
    <mergeCell ref="C25:C26"/>
    <mergeCell ref="D25:D26"/>
    <mergeCell ref="E25:E26"/>
    <mergeCell ref="F25:F26"/>
    <mergeCell ref="G25:H26"/>
    <mergeCell ref="N24:P24"/>
    <mergeCell ref="A50:B50"/>
    <mergeCell ref="N26:P26"/>
    <mergeCell ref="Q26:R26"/>
    <mergeCell ref="A35:E35"/>
    <mergeCell ref="F35:H35"/>
    <mergeCell ref="A36:E36"/>
    <mergeCell ref="F36:H36"/>
    <mergeCell ref="G27:H27"/>
    <mergeCell ref="G28:H28"/>
    <mergeCell ref="G29:H29"/>
  </mergeCells>
  <conditionalFormatting sqref="A13">
    <cfRule type="cellIs" dxfId="13" priority="2" stopIfTrue="1" operator="notEqual">
      <formula>0</formula>
    </cfRule>
  </conditionalFormatting>
  <conditionalFormatting sqref="E5:E8 E27:E29">
    <cfRule type="cellIs" dxfId="12" priority="1" stopIfTrue="1" operator="greaterThan">
      <formula>0.9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F434-BB13-4E73-BFFF-08302D2B4275}">
  <sheetPr>
    <tabColor theme="9" tint="0.59999389629810485"/>
  </sheetPr>
  <dimension ref="A1:AE525"/>
  <sheetViews>
    <sheetView workbookViewId="0">
      <selection activeCell="B5" sqref="B5"/>
    </sheetView>
  </sheetViews>
  <sheetFormatPr baseColWidth="10" defaultRowHeight="15" x14ac:dyDescent="0.25"/>
  <cols>
    <col min="1" max="1" width="30.140625" customWidth="1"/>
    <col min="2" max="2" width="15" customWidth="1"/>
    <col min="3" max="3" width="14" customWidth="1"/>
    <col min="4" max="4" width="17" customWidth="1"/>
    <col min="5" max="5" width="15.7109375" customWidth="1"/>
    <col min="6" max="6" width="19.7109375" customWidth="1"/>
    <col min="7" max="7" width="10" customWidth="1"/>
    <col min="8" max="8" width="5" customWidth="1"/>
    <col min="9" max="9" width="4.5703125" hidden="1" customWidth="1"/>
    <col min="10" max="10" width="34.85546875" hidden="1" customWidth="1"/>
    <col min="11" max="11" width="5.140625" hidden="1" customWidth="1"/>
    <col min="12" max="12" width="8.5703125" style="2" hidden="1" customWidth="1"/>
    <col min="14" max="18" width="0" hidden="1" customWidth="1"/>
  </cols>
  <sheetData>
    <row r="1" spans="1:31" ht="23.25" customHeight="1" x14ac:dyDescent="0.25">
      <c r="A1" s="504" t="s">
        <v>232</v>
      </c>
      <c r="B1" s="505"/>
      <c r="C1" s="505"/>
      <c r="D1" s="505"/>
      <c r="E1" s="505"/>
      <c r="F1" s="505"/>
      <c r="G1" s="505"/>
      <c r="H1" s="506"/>
      <c r="I1" s="3"/>
      <c r="M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1" ht="16.5" thickBot="1" x14ac:dyDescent="0.3">
      <c r="A2" s="507"/>
      <c r="B2" s="508"/>
      <c r="C2" s="508"/>
      <c r="D2" s="508"/>
      <c r="E2" s="508"/>
      <c r="F2" s="508"/>
      <c r="G2" s="508"/>
      <c r="H2" s="509"/>
      <c r="I2" s="3"/>
      <c r="M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 ht="16.5" thickBot="1" x14ac:dyDescent="0.3">
      <c r="A3" s="456" t="s">
        <v>7</v>
      </c>
      <c r="B3" s="457"/>
      <c r="C3" s="457"/>
      <c r="D3" s="457"/>
      <c r="E3" s="457"/>
      <c r="F3" s="457"/>
      <c r="G3" s="457"/>
      <c r="H3" s="458"/>
      <c r="M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</row>
    <row r="4" spans="1:31" ht="33.75" x14ac:dyDescent="0.25">
      <c r="A4" s="194" t="s">
        <v>208</v>
      </c>
      <c r="B4" s="195" t="s">
        <v>210</v>
      </c>
      <c r="C4" s="195" t="s">
        <v>25</v>
      </c>
      <c r="D4" s="195" t="s">
        <v>36</v>
      </c>
      <c r="E4" s="195" t="s">
        <v>27</v>
      </c>
      <c r="F4" s="195" t="s">
        <v>225</v>
      </c>
      <c r="G4" s="461" t="s">
        <v>29</v>
      </c>
      <c r="H4" s="462"/>
      <c r="I4" s="6"/>
      <c r="J4" s="1" t="s">
        <v>39</v>
      </c>
      <c r="K4" s="5"/>
      <c r="L4" s="2">
        <f>Q8*20/80</f>
        <v>0</v>
      </c>
      <c r="M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5" spans="1:31" x14ac:dyDescent="0.25">
      <c r="A5" s="196" t="s">
        <v>0</v>
      </c>
      <c r="B5" s="309"/>
      <c r="C5" s="13">
        <f>B5/($B$14+0.00001)</f>
        <v>0</v>
      </c>
      <c r="D5" s="7">
        <f>IF(C5&lt;80%,B5,4*(B6+B7))</f>
        <v>0</v>
      </c>
      <c r="E5" s="13">
        <f>G5/(F$17+0.00001)</f>
        <v>0</v>
      </c>
      <c r="F5" s="7">
        <f>IF(OR($D$5=$B$8,$D$6=$B$8,$D$7=$B$8,C5=100%),0,D5)</f>
        <v>0</v>
      </c>
      <c r="G5" s="482">
        <f>F5</f>
        <v>0</v>
      </c>
      <c r="H5" s="483"/>
      <c r="I5" s="10"/>
      <c r="J5" s="1" t="s">
        <v>40</v>
      </c>
      <c r="K5" s="5"/>
      <c r="L5" s="2">
        <f>B12+B11+B10</f>
        <v>0</v>
      </c>
      <c r="M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1" x14ac:dyDescent="0.25">
      <c r="A6" s="226" t="s">
        <v>1</v>
      </c>
      <c r="B6" s="314"/>
      <c r="C6" s="13">
        <f t="shared" ref="C6:C7" si="0">B6/($B$14+0.00001)</f>
        <v>0</v>
      </c>
      <c r="D6" s="7">
        <f>IF(C6&lt;80%,B6,4*(B7+B5))</f>
        <v>0</v>
      </c>
      <c r="E6" s="13">
        <f>G6/(F$17+0.00001)</f>
        <v>0</v>
      </c>
      <c r="F6" s="7">
        <f>IF(OR($D$6=$B$8,$D$7=$B$8,$D$5=$B$8,C6=100%),0,D6)</f>
        <v>0</v>
      </c>
      <c r="G6" s="482">
        <f>F6</f>
        <v>0</v>
      </c>
      <c r="H6" s="483"/>
      <c r="I6" s="10"/>
      <c r="J6" s="1" t="s">
        <v>44</v>
      </c>
      <c r="K6" s="5"/>
      <c r="L6" s="2" t="e">
        <f>IF((Q8*100/B14)&gt;80,100-(Q8*100/B14),20)</f>
        <v>#DIV/0!</v>
      </c>
      <c r="M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</row>
    <row r="7" spans="1:31" ht="15.75" thickBot="1" x14ac:dyDescent="0.3">
      <c r="A7" s="196" t="s">
        <v>124</v>
      </c>
      <c r="B7" s="309"/>
      <c r="C7" s="225">
        <f t="shared" si="0"/>
        <v>0</v>
      </c>
      <c r="D7" s="198">
        <f>IF(C7&lt;80%,B7,4*(B6+B5))</f>
        <v>0</v>
      </c>
      <c r="E7" s="197">
        <f>G7/(F$17+0.00001)</f>
        <v>0</v>
      </c>
      <c r="F7" s="198">
        <f>IF(OR($D$6=$B$8,$D$7=$B$8,$D$5=$B$8,C7=100%),0,D7)</f>
        <v>0</v>
      </c>
      <c r="G7" s="496">
        <f>F7</f>
        <v>0</v>
      </c>
      <c r="H7" s="497"/>
      <c r="I7" s="10"/>
      <c r="J7" s="1" t="s">
        <v>50</v>
      </c>
      <c r="K7" s="5"/>
      <c r="L7" s="12">
        <f>IF(L5&gt;L4,L4,L5)</f>
        <v>0</v>
      </c>
      <c r="M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</row>
    <row r="8" spans="1:31" ht="16.5" thickBot="1" x14ac:dyDescent="0.3">
      <c r="A8" s="192" t="s">
        <v>204</v>
      </c>
      <c r="B8" s="216">
        <f>SUM(B5:B7)</f>
        <v>0</v>
      </c>
      <c r="C8" s="227"/>
      <c r="D8" s="108"/>
      <c r="E8" s="513"/>
      <c r="F8" s="513"/>
      <c r="G8" s="468"/>
      <c r="H8" s="469"/>
      <c r="I8" s="10"/>
      <c r="M8" s="56"/>
      <c r="N8" s="365" t="s">
        <v>58</v>
      </c>
      <c r="O8" s="452"/>
      <c r="P8" s="452"/>
      <c r="Q8" s="453">
        <f>SUM(G5,G6,G7)</f>
        <v>0</v>
      </c>
      <c r="R8" s="361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1:31" ht="15.75" thickBot="1" x14ac:dyDescent="0.3">
      <c r="A9" s="263"/>
      <c r="B9" s="127"/>
      <c r="C9" s="61"/>
      <c r="D9" s="56"/>
      <c r="E9" s="56"/>
      <c r="F9" s="56"/>
      <c r="G9" s="56"/>
      <c r="H9" s="256"/>
      <c r="I9" s="19"/>
      <c r="J9" s="1"/>
      <c r="K9" s="5"/>
      <c r="M9" s="56"/>
      <c r="N9" s="369" t="s">
        <v>97</v>
      </c>
      <c r="O9" s="454"/>
      <c r="P9" s="454"/>
      <c r="Q9" s="21">
        <f>IF(F17=0,0,Q8*100/F17)</f>
        <v>0</v>
      </c>
      <c r="R9" s="179" t="s">
        <v>56</v>
      </c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128" t="s">
        <v>61</v>
      </c>
      <c r="B10" s="310"/>
      <c r="C10" s="203"/>
      <c r="D10" s="56"/>
      <c r="E10" s="56"/>
      <c r="F10" s="56"/>
      <c r="G10" s="56"/>
      <c r="H10" s="256"/>
      <c r="I10" s="20"/>
      <c r="J10" s="1"/>
      <c r="K10" s="5"/>
      <c r="M10" s="56"/>
      <c r="N10" s="376" t="s">
        <v>64</v>
      </c>
      <c r="O10" s="455"/>
      <c r="P10" s="455"/>
      <c r="Q10" s="453">
        <f>IF(B8&lt;Q8,0,B8-Q8)</f>
        <v>0</v>
      </c>
      <c r="R10" s="361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1:31" x14ac:dyDescent="0.25">
      <c r="A11" s="129" t="s">
        <v>125</v>
      </c>
      <c r="B11" s="311"/>
      <c r="C11" s="103"/>
      <c r="D11" s="56"/>
      <c r="E11" s="56"/>
      <c r="F11" s="56"/>
      <c r="G11" s="56"/>
      <c r="H11" s="256"/>
      <c r="I11" s="22"/>
      <c r="J11" s="23"/>
      <c r="K11" s="5"/>
      <c r="L11" s="24"/>
      <c r="M11" s="56"/>
      <c r="N11" s="397"/>
      <c r="O11" s="397"/>
      <c r="P11" s="397"/>
      <c r="Q11" s="398"/>
      <c r="R11" s="398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</row>
    <row r="12" spans="1:31" ht="15.75" thickBot="1" x14ac:dyDescent="0.3">
      <c r="A12" s="123" t="s">
        <v>213</v>
      </c>
      <c r="B12" s="205">
        <f>SUM(B10:B11)</f>
        <v>0</v>
      </c>
      <c r="C12" s="103"/>
      <c r="D12" s="56"/>
      <c r="E12" s="56"/>
      <c r="F12" s="56"/>
      <c r="G12" s="56"/>
      <c r="H12" s="256"/>
      <c r="I12" s="20"/>
      <c r="J12" s="23"/>
      <c r="K12" s="5"/>
      <c r="M12" s="56"/>
      <c r="N12" s="365" t="s">
        <v>70</v>
      </c>
      <c r="O12" s="452"/>
      <c r="P12" s="452"/>
      <c r="Q12" s="453">
        <f>L7</f>
        <v>0</v>
      </c>
      <c r="R12" s="361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</row>
    <row r="13" spans="1:31" ht="15.75" thickBot="1" x14ac:dyDescent="0.3">
      <c r="A13" s="263"/>
      <c r="B13" s="127"/>
      <c r="C13" s="56"/>
      <c r="D13" s="56"/>
      <c r="E13" s="56"/>
      <c r="F13" s="56"/>
      <c r="G13" s="56"/>
      <c r="H13" s="256"/>
      <c r="I13" s="20"/>
      <c r="J13" s="23"/>
      <c r="K13" s="5"/>
      <c r="M13" s="56"/>
      <c r="N13" s="369" t="s">
        <v>74</v>
      </c>
      <c r="O13" s="454"/>
      <c r="P13" s="454"/>
      <c r="Q13" s="21">
        <f>IF(F17=0,0,Q12*100/F17)</f>
        <v>0</v>
      </c>
      <c r="R13" s="179" t="s">
        <v>56</v>
      </c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</row>
    <row r="14" spans="1:31" ht="17.25" thickBot="1" x14ac:dyDescent="0.3">
      <c r="A14" s="190" t="s">
        <v>207</v>
      </c>
      <c r="B14" s="191">
        <f>B12+B8</f>
        <v>0</v>
      </c>
      <c r="C14" s="103"/>
      <c r="D14" s="56"/>
      <c r="E14" s="56"/>
      <c r="F14" s="56"/>
      <c r="G14" s="56"/>
      <c r="H14" s="256"/>
      <c r="I14" s="20"/>
      <c r="J14" s="23"/>
      <c r="K14" s="5"/>
      <c r="M14" s="56"/>
      <c r="N14" s="376" t="s">
        <v>77</v>
      </c>
      <c r="O14" s="455"/>
      <c r="P14" s="455"/>
      <c r="Q14" s="453">
        <f>IF(B12&lt;Q12,0,B12-Q12)</f>
        <v>0</v>
      </c>
      <c r="R14" s="361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</row>
    <row r="15" spans="1:31" x14ac:dyDescent="0.25">
      <c r="A15" s="268"/>
      <c r="B15" s="118"/>
      <c r="C15" s="61"/>
      <c r="D15" s="56"/>
      <c r="E15" s="56"/>
      <c r="F15" s="56"/>
      <c r="G15" s="56"/>
      <c r="H15" s="256"/>
      <c r="I15" s="22"/>
      <c r="J15" s="23"/>
      <c r="K15" s="5"/>
      <c r="M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</row>
    <row r="16" spans="1:31" ht="15.75" thickBot="1" x14ac:dyDescent="0.3">
      <c r="A16" s="257"/>
      <c r="B16" s="107"/>
      <c r="C16" s="182"/>
      <c r="D16" s="116"/>
      <c r="E16" s="116"/>
      <c r="F16" s="116"/>
      <c r="G16" s="117"/>
      <c r="H16" s="266"/>
      <c r="I16" s="22"/>
      <c r="J16" s="23"/>
      <c r="K16" s="5"/>
      <c r="M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</row>
    <row r="17" spans="1:31" ht="15.75" x14ac:dyDescent="0.25">
      <c r="A17" s="444" t="s">
        <v>147</v>
      </c>
      <c r="B17" s="445"/>
      <c r="C17" s="445"/>
      <c r="D17" s="445"/>
      <c r="E17" s="445"/>
      <c r="F17" s="446">
        <f>Q8+Q12</f>
        <v>0</v>
      </c>
      <c r="G17" s="446"/>
      <c r="H17" s="447"/>
      <c r="I17" s="22"/>
      <c r="J17" s="23"/>
      <c r="K17" s="5"/>
      <c r="M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1:31" ht="16.5" thickBot="1" x14ac:dyDescent="0.3">
      <c r="A18" s="448" t="s">
        <v>148</v>
      </c>
      <c r="B18" s="449"/>
      <c r="C18" s="449"/>
      <c r="D18" s="449"/>
      <c r="E18" s="449"/>
      <c r="F18" s="450">
        <f>Q10+Q14</f>
        <v>0</v>
      </c>
      <c r="G18" s="450"/>
      <c r="H18" s="451"/>
      <c r="I18" s="22"/>
      <c r="J18" s="23"/>
      <c r="K18" s="5"/>
      <c r="M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</row>
    <row r="19" spans="1:31" x14ac:dyDescent="0.25">
      <c r="A19" s="268"/>
      <c r="B19" s="108"/>
      <c r="C19" s="189"/>
      <c r="D19" s="199"/>
      <c r="E19" s="199"/>
      <c r="F19" s="199"/>
      <c r="G19" s="181"/>
      <c r="H19" s="274"/>
      <c r="I19" s="22"/>
      <c r="J19" s="23"/>
      <c r="K19" s="5"/>
      <c r="M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</row>
    <row r="20" spans="1:31" ht="15" customHeight="1" x14ac:dyDescent="0.25">
      <c r="A20" s="255"/>
      <c r="B20" s="56"/>
      <c r="C20" s="56"/>
      <c r="D20" s="56"/>
      <c r="E20" s="56"/>
      <c r="F20" s="56"/>
      <c r="G20" s="56"/>
      <c r="H20" s="256"/>
      <c r="I20" s="22"/>
      <c r="J20" s="23"/>
      <c r="K20" s="5"/>
      <c r="M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</row>
    <row r="21" spans="1:31" ht="15" customHeight="1" thickBot="1" x14ac:dyDescent="0.3">
      <c r="A21" s="257"/>
      <c r="B21" s="107"/>
      <c r="C21" s="107"/>
      <c r="D21" s="107"/>
      <c r="E21" s="107"/>
      <c r="F21" s="107"/>
      <c r="G21" s="107"/>
      <c r="H21" s="258"/>
      <c r="I21" s="22"/>
      <c r="J21" s="23"/>
      <c r="K21" s="5"/>
      <c r="M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</row>
    <row r="22" spans="1:31" ht="16.5" thickBot="1" x14ac:dyDescent="0.3">
      <c r="A22" s="478" t="s">
        <v>227</v>
      </c>
      <c r="B22" s="479"/>
      <c r="C22" s="479"/>
      <c r="D22" s="479"/>
      <c r="E22" s="479"/>
      <c r="F22" s="479"/>
      <c r="G22" s="479"/>
      <c r="H22" s="480"/>
      <c r="I22" s="20"/>
      <c r="J22" s="23"/>
      <c r="K22" s="1"/>
      <c r="M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</row>
    <row r="23" spans="1:31" x14ac:dyDescent="0.25">
      <c r="A23" s="459" t="s">
        <v>208</v>
      </c>
      <c r="B23" s="461" t="s">
        <v>210</v>
      </c>
      <c r="C23" s="461" t="s">
        <v>25</v>
      </c>
      <c r="D23" s="461" t="s">
        <v>36</v>
      </c>
      <c r="E23" s="461" t="s">
        <v>27</v>
      </c>
      <c r="F23" s="461" t="s">
        <v>225</v>
      </c>
      <c r="G23" s="461" t="s">
        <v>29</v>
      </c>
      <c r="H23" s="462"/>
      <c r="I23" s="20"/>
      <c r="J23" s="1" t="s">
        <v>39</v>
      </c>
      <c r="K23" s="5"/>
      <c r="L23" s="2">
        <f>Q29*20/80</f>
        <v>0</v>
      </c>
      <c r="M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</row>
    <row r="24" spans="1:31" x14ac:dyDescent="0.25">
      <c r="A24" s="460"/>
      <c r="B24" s="402"/>
      <c r="C24" s="402"/>
      <c r="D24" s="402"/>
      <c r="E24" s="402"/>
      <c r="F24" s="402"/>
      <c r="G24" s="402"/>
      <c r="H24" s="463"/>
      <c r="I24" s="20"/>
      <c r="J24" s="1" t="s">
        <v>40</v>
      </c>
      <c r="K24" s="5"/>
      <c r="L24" s="2">
        <f>B30+B31+B32+B33</f>
        <v>0</v>
      </c>
      <c r="M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</row>
    <row r="25" spans="1:31" x14ac:dyDescent="0.25">
      <c r="A25" s="196" t="s">
        <v>0</v>
      </c>
      <c r="B25" s="309"/>
      <c r="C25" s="13">
        <f>B25/($B$42+0.00001)</f>
        <v>0</v>
      </c>
      <c r="D25" s="7">
        <f>IF(C25&lt;80%,B25,4*(B26+B27))</f>
        <v>0</v>
      </c>
      <c r="E25" s="13">
        <f>G25/(F$44+0.00001)</f>
        <v>0</v>
      </c>
      <c r="F25" s="7">
        <f>IF(OR($D$27=$B$28,$D$26=$B$28,$D$25=$B$28,C25=100%),0,D25)</f>
        <v>0</v>
      </c>
      <c r="G25" s="482">
        <f>F25</f>
        <v>0</v>
      </c>
      <c r="H25" s="483"/>
      <c r="I25" s="22"/>
      <c r="J25" s="1" t="s">
        <v>44</v>
      </c>
      <c r="K25" s="5"/>
      <c r="L25" s="2" t="e">
        <f>IF((Q29*100/B14)&gt;80,100-(Q29*100/B14),20)</f>
        <v>#DIV/0!</v>
      </c>
      <c r="M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</row>
    <row r="26" spans="1:31" x14ac:dyDescent="0.25">
      <c r="A26" s="196" t="s">
        <v>49</v>
      </c>
      <c r="B26" s="309"/>
      <c r="C26" s="13">
        <f>B26/($B$42+0.00001)</f>
        <v>0</v>
      </c>
      <c r="D26" s="7">
        <f>IF(C26&lt;80%,B26,4*(B27+B25))</f>
        <v>0</v>
      </c>
      <c r="E26" s="13">
        <f>G26/(F$44+0.00001)</f>
        <v>0</v>
      </c>
      <c r="F26" s="8">
        <f>IF(OR($D$25=$B$28,$D$26=$B$28,$D$27=$B$28,C26=100%),0,D26)</f>
        <v>0</v>
      </c>
      <c r="G26" s="482">
        <f>F26</f>
        <v>0</v>
      </c>
      <c r="H26" s="483"/>
      <c r="I26" s="20"/>
      <c r="J26" s="1" t="s">
        <v>50</v>
      </c>
      <c r="K26" s="5"/>
      <c r="L26" s="12">
        <f>IF(L24&gt;L23,L23,L24)</f>
        <v>0</v>
      </c>
      <c r="M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</row>
    <row r="27" spans="1:31" ht="15.75" thickBot="1" x14ac:dyDescent="0.3">
      <c r="A27" s="196" t="s">
        <v>1</v>
      </c>
      <c r="B27" s="309"/>
      <c r="C27" s="197">
        <f>B27/($B$42+0.00001)</f>
        <v>0</v>
      </c>
      <c r="D27" s="198">
        <f>IF(C27&lt;80%,B27,4*(B26+B25))</f>
        <v>0</v>
      </c>
      <c r="E27" s="197">
        <f>G27/(F$44+0.00001)</f>
        <v>0</v>
      </c>
      <c r="F27" s="202">
        <f>IF(OR($D$25=$B$28,$D$26=$B$28,$D$27=$B$28,C27=100%),0,D27)</f>
        <v>0</v>
      </c>
      <c r="G27" s="496">
        <f>F27</f>
        <v>0</v>
      </c>
      <c r="H27" s="497"/>
      <c r="I27" s="20"/>
      <c r="M27" s="107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</row>
    <row r="28" spans="1:31" ht="16.5" thickBot="1" x14ac:dyDescent="0.3">
      <c r="A28" s="192" t="s">
        <v>204</v>
      </c>
      <c r="B28" s="193">
        <f>SUM(B25:B27)</f>
        <v>0</v>
      </c>
      <c r="C28" s="227"/>
      <c r="D28" s="108"/>
      <c r="E28" s="185"/>
      <c r="F28" s="108"/>
      <c r="G28" s="511"/>
      <c r="H28" s="469"/>
      <c r="I28" s="218"/>
      <c r="J28" s="66" t="s">
        <v>59</v>
      </c>
      <c r="K28" s="62"/>
      <c r="L28" s="65">
        <f>IF(L26=L23,0,IF(L26&lt;L23,L23-L26,""))</f>
        <v>0</v>
      </c>
      <c r="M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</row>
    <row r="29" spans="1:31" ht="16.5" thickBot="1" x14ac:dyDescent="0.3">
      <c r="A29" s="263"/>
      <c r="B29" s="120"/>
      <c r="C29" s="72"/>
      <c r="D29" s="56"/>
      <c r="E29" s="56"/>
      <c r="F29" s="56"/>
      <c r="G29" s="56"/>
      <c r="H29" s="256"/>
      <c r="I29" s="220"/>
      <c r="J29" s="66" t="s">
        <v>63</v>
      </c>
      <c r="K29" s="62"/>
      <c r="L29" s="65">
        <f>IF(L28&lt;B38+B37+B39+B36,L28,B38+B37+B39+B36)</f>
        <v>0</v>
      </c>
      <c r="M29" s="56"/>
      <c r="N29" s="365" t="s">
        <v>58</v>
      </c>
      <c r="O29" s="452"/>
      <c r="P29" s="452"/>
      <c r="Q29" s="453">
        <f>SUM(G25,G26,G27)</f>
        <v>0</v>
      </c>
      <c r="R29" s="361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</row>
    <row r="30" spans="1:31" ht="15.75" x14ac:dyDescent="0.25">
      <c r="A30" s="128"/>
      <c r="B30" s="310"/>
      <c r="C30" s="203"/>
      <c r="D30" s="56"/>
      <c r="E30" s="56"/>
      <c r="F30" s="56"/>
      <c r="G30" s="56"/>
      <c r="H30" s="256"/>
      <c r="I30" s="237"/>
      <c r="J30" s="85" t="s">
        <v>68</v>
      </c>
      <c r="K30" s="62"/>
      <c r="L30" s="86">
        <f>IF(L29=0,0,L29*100/L35)</f>
        <v>0</v>
      </c>
      <c r="M30" s="56"/>
      <c r="N30" s="369" t="s">
        <v>97</v>
      </c>
      <c r="O30" s="454"/>
      <c r="P30" s="454"/>
      <c r="Q30" s="21">
        <f>IF(F44=0,0,Q29*100/F44)</f>
        <v>0</v>
      </c>
      <c r="R30" s="179" t="s">
        <v>56</v>
      </c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</row>
    <row r="31" spans="1:31" ht="15.75" x14ac:dyDescent="0.25">
      <c r="A31" s="129" t="s">
        <v>52</v>
      </c>
      <c r="B31" s="311"/>
      <c r="C31" s="103"/>
      <c r="D31" s="56"/>
      <c r="E31" s="56"/>
      <c r="F31" s="56"/>
      <c r="G31" s="56"/>
      <c r="H31" s="256"/>
      <c r="I31" s="237"/>
      <c r="J31" s="56"/>
      <c r="K31" s="56"/>
      <c r="L31" s="65"/>
      <c r="M31" s="56"/>
      <c r="N31" s="376" t="s">
        <v>64</v>
      </c>
      <c r="O31" s="455"/>
      <c r="P31" s="455"/>
      <c r="Q31" s="453">
        <f>IF(B28&lt;Q29,0,B28-Q29)</f>
        <v>0</v>
      </c>
      <c r="R31" s="361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</row>
    <row r="32" spans="1:31" x14ac:dyDescent="0.25">
      <c r="A32" s="131" t="s">
        <v>124</v>
      </c>
      <c r="B32" s="311"/>
      <c r="C32" s="103"/>
      <c r="D32" s="56"/>
      <c r="E32" s="56"/>
      <c r="F32" s="56"/>
      <c r="G32" s="56"/>
      <c r="H32" s="256"/>
      <c r="I32" s="105"/>
      <c r="J32" s="85" t="s">
        <v>71</v>
      </c>
      <c r="K32" s="62"/>
      <c r="L32" s="75">
        <f>IF(L29=0,0,IF(L30&gt;20,0.25*L35-0.25*L29,L29))</f>
        <v>0</v>
      </c>
      <c r="M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</row>
    <row r="33" spans="1:30" x14ac:dyDescent="0.25">
      <c r="A33" s="131"/>
      <c r="B33" s="311"/>
      <c r="C33" s="103"/>
      <c r="D33" s="56"/>
      <c r="E33" s="56"/>
      <c r="F33" s="56"/>
      <c r="G33" s="56"/>
      <c r="H33" s="256"/>
      <c r="I33" s="246"/>
      <c r="J33" s="85"/>
      <c r="K33" s="62"/>
      <c r="L33" s="65"/>
      <c r="M33" s="56"/>
      <c r="N33" s="365" t="s">
        <v>70</v>
      </c>
      <c r="O33" s="452"/>
      <c r="P33" s="452"/>
      <c r="Q33" s="495">
        <f>L26</f>
        <v>0</v>
      </c>
      <c r="R33" s="512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</row>
    <row r="34" spans="1:30" ht="15.75" thickBot="1" x14ac:dyDescent="0.3">
      <c r="A34" s="123" t="s">
        <v>205</v>
      </c>
      <c r="B34" s="188">
        <f>SUM(B31:B32)</f>
        <v>0</v>
      </c>
      <c r="C34" s="103"/>
      <c r="D34" s="56"/>
      <c r="E34" s="56"/>
      <c r="F34" s="56"/>
      <c r="G34" s="56"/>
      <c r="H34" s="256"/>
      <c r="I34" s="218"/>
      <c r="J34" s="85"/>
      <c r="K34" s="62"/>
      <c r="L34" s="65"/>
      <c r="M34" s="56"/>
      <c r="N34" s="369" t="s">
        <v>74</v>
      </c>
      <c r="O34" s="454"/>
      <c r="P34" s="367"/>
      <c r="Q34" s="21">
        <f>IF(F44=0,0,Q33*100/F44)</f>
        <v>0</v>
      </c>
      <c r="R34" s="179" t="s">
        <v>56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</row>
    <row r="35" spans="1:30" ht="15.75" thickBot="1" x14ac:dyDescent="0.3">
      <c r="A35" s="263"/>
      <c r="B35" s="120"/>
      <c r="C35" s="61"/>
      <c r="D35" s="56"/>
      <c r="E35" s="56"/>
      <c r="F35" s="56"/>
      <c r="G35" s="56"/>
      <c r="H35" s="256"/>
      <c r="I35" s="232"/>
      <c r="J35" s="85" t="s">
        <v>75</v>
      </c>
      <c r="K35" s="62"/>
      <c r="L35" s="65">
        <f>Q29+Q33+L29</f>
        <v>0</v>
      </c>
      <c r="M35" s="56"/>
      <c r="N35" s="376" t="s">
        <v>77</v>
      </c>
      <c r="O35" s="455"/>
      <c r="P35" s="455"/>
      <c r="Q35" s="493">
        <f>IF(B34&lt;Q33,0,B34-Q33)</f>
        <v>0</v>
      </c>
      <c r="R35" s="510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</row>
    <row r="36" spans="1:30" x14ac:dyDescent="0.25">
      <c r="A36" s="121" t="s">
        <v>126</v>
      </c>
      <c r="B36" s="312"/>
      <c r="C36" s="106"/>
      <c r="D36" s="56"/>
      <c r="E36" s="56"/>
      <c r="F36" s="56"/>
      <c r="G36" s="56"/>
      <c r="H36" s="256"/>
      <c r="I36" s="218"/>
      <c r="J36" s="85" t="s">
        <v>78</v>
      </c>
      <c r="K36" s="66"/>
      <c r="L36" s="65">
        <f>Q29+Q33+L32</f>
        <v>0</v>
      </c>
      <c r="M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</row>
    <row r="37" spans="1:30" x14ac:dyDescent="0.25">
      <c r="A37" s="122" t="s">
        <v>123</v>
      </c>
      <c r="B37" s="313"/>
      <c r="C37" s="106"/>
      <c r="D37" s="56"/>
      <c r="E37" s="56"/>
      <c r="F37" s="56"/>
      <c r="G37" s="56"/>
      <c r="H37" s="256"/>
      <c r="I37" s="218"/>
      <c r="J37" s="66"/>
      <c r="K37" s="66"/>
      <c r="L37" s="65"/>
      <c r="M37" s="56"/>
      <c r="N37" s="365" t="s">
        <v>83</v>
      </c>
      <c r="O37" s="452"/>
      <c r="P37" s="452"/>
      <c r="Q37" s="453">
        <f>IF(OR(L42&gt;L41,L42=L41),L43,L51)</f>
        <v>0</v>
      </c>
      <c r="R37" s="361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</row>
    <row r="38" spans="1:30" x14ac:dyDescent="0.25">
      <c r="A38" s="122" t="s">
        <v>127</v>
      </c>
      <c r="B38" s="313"/>
      <c r="C38" s="222"/>
      <c r="D38" s="56"/>
      <c r="E38" s="56"/>
      <c r="F38" s="56"/>
      <c r="G38" s="56"/>
      <c r="H38" s="256"/>
      <c r="I38" s="218"/>
      <c r="J38" s="85" t="s">
        <v>81</v>
      </c>
      <c r="K38" s="66"/>
      <c r="L38" s="65">
        <f>(B37+B38+B39)-(1/0.9)*(B37+B38+B39)+(0.1/0.9)*(Q29+Q33+B37+B38+B39+B36)</f>
        <v>0</v>
      </c>
      <c r="M38" s="56"/>
      <c r="N38" s="369" t="s">
        <v>74</v>
      </c>
      <c r="O38" s="454"/>
      <c r="P38" s="454"/>
      <c r="Q38" s="21">
        <f>IF(F44=0,0,Q37*100/F44)</f>
        <v>0</v>
      </c>
      <c r="R38" s="179" t="s">
        <v>56</v>
      </c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</row>
    <row r="39" spans="1:30" x14ac:dyDescent="0.25">
      <c r="A39" s="122" t="s">
        <v>82</v>
      </c>
      <c r="B39" s="313"/>
      <c r="C39" s="103"/>
      <c r="D39" s="56"/>
      <c r="E39" s="56"/>
      <c r="F39" s="56"/>
      <c r="G39" s="56"/>
      <c r="H39" s="256"/>
      <c r="I39" s="232"/>
      <c r="J39" s="85" t="s">
        <v>84</v>
      </c>
      <c r="K39" s="66"/>
      <c r="L39" s="65">
        <f>IF(L38=0,0,IF(B37+B38+B39&gt;L38,L38,B37+B38+B39))</f>
        <v>0</v>
      </c>
      <c r="M39" s="56"/>
      <c r="N39" s="369" t="s">
        <v>87</v>
      </c>
      <c r="O39" s="454"/>
      <c r="P39" s="454"/>
      <c r="Q39" s="453">
        <f>IF(OR(L42&gt;L41,L42=L41),L40,L47)</f>
        <v>0</v>
      </c>
      <c r="R39" s="361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</row>
    <row r="40" spans="1:30" ht="15.75" thickBot="1" x14ac:dyDescent="0.3">
      <c r="A40" s="123" t="s">
        <v>85</v>
      </c>
      <c r="B40" s="205">
        <f>SUM(B36:B39)</f>
        <v>0</v>
      </c>
      <c r="C40" s="103"/>
      <c r="D40" s="56"/>
      <c r="E40" s="56"/>
      <c r="F40" s="56"/>
      <c r="G40" s="56"/>
      <c r="H40" s="256"/>
      <c r="I40" s="232"/>
      <c r="J40" s="85" t="s">
        <v>86</v>
      </c>
      <c r="K40" s="66"/>
      <c r="L40" s="65">
        <f>IF(L39&gt;L32,L32,L39)</f>
        <v>0</v>
      </c>
      <c r="M40" s="56"/>
      <c r="N40" s="369" t="s">
        <v>80</v>
      </c>
      <c r="O40" s="454"/>
      <c r="P40" s="454"/>
      <c r="Q40" s="21">
        <f>IF(F44=0,0,Q39*100/F44)</f>
        <v>0</v>
      </c>
      <c r="R40" s="179" t="s">
        <v>56</v>
      </c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</row>
    <row r="41" spans="1:30" ht="15.75" thickBot="1" x14ac:dyDescent="0.3">
      <c r="A41" s="263"/>
      <c r="B41" s="120"/>
      <c r="C41" s="56"/>
      <c r="D41" s="56"/>
      <c r="E41" s="56"/>
      <c r="F41" s="56"/>
      <c r="G41" s="56"/>
      <c r="H41" s="256"/>
      <c r="I41" s="232"/>
      <c r="J41" s="85" t="s">
        <v>88</v>
      </c>
      <c r="K41" s="66"/>
      <c r="L41" s="86">
        <f>L32-L40</f>
        <v>0</v>
      </c>
      <c r="M41" s="56"/>
      <c r="N41" s="372" t="s">
        <v>90</v>
      </c>
      <c r="O41" s="464"/>
      <c r="P41" s="464"/>
      <c r="Q41" s="453">
        <f>IF(B40&lt;Q37,0,B40-Q37)</f>
        <v>0</v>
      </c>
      <c r="R41" s="361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</row>
    <row r="42" spans="1:30" ht="17.25" thickBot="1" x14ac:dyDescent="0.3">
      <c r="A42" s="190" t="s">
        <v>207</v>
      </c>
      <c r="B42" s="191">
        <f>B40+B34+B28</f>
        <v>0</v>
      </c>
      <c r="C42" s="103"/>
      <c r="D42" s="56"/>
      <c r="E42" s="56"/>
      <c r="F42" s="56"/>
      <c r="G42" s="56"/>
      <c r="H42" s="256"/>
      <c r="I42" s="218"/>
      <c r="J42" s="85" t="s">
        <v>89</v>
      </c>
      <c r="K42" s="66"/>
      <c r="L42" s="65">
        <f>IF(B36=0,0,IF(B36&gt;L41,L41,B36))</f>
        <v>0</v>
      </c>
      <c r="M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</row>
    <row r="43" spans="1:30" ht="15.75" thickBot="1" x14ac:dyDescent="0.3">
      <c r="A43" s="263"/>
      <c r="B43" s="120"/>
      <c r="C43" s="107"/>
      <c r="D43" s="107"/>
      <c r="E43" s="107"/>
      <c r="F43" s="107"/>
      <c r="G43" s="107"/>
      <c r="H43" s="258"/>
      <c r="I43" s="218"/>
      <c r="J43" s="85" t="s">
        <v>92</v>
      </c>
      <c r="K43" s="56"/>
      <c r="L43" s="65">
        <f>L42+L40</f>
        <v>0</v>
      </c>
      <c r="M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</row>
    <row r="44" spans="1:30" ht="15.75" x14ac:dyDescent="0.25">
      <c r="A44" s="416" t="s">
        <v>149</v>
      </c>
      <c r="B44" s="417"/>
      <c r="C44" s="417"/>
      <c r="D44" s="417"/>
      <c r="E44" s="417"/>
      <c r="F44" s="412">
        <f>Q29+Q33+Q37</f>
        <v>0</v>
      </c>
      <c r="G44" s="412"/>
      <c r="H44" s="413"/>
      <c r="I44" s="20"/>
      <c r="J44" s="23" t="s">
        <v>78</v>
      </c>
      <c r="L44" s="2">
        <f>Q29+Q33+L43</f>
        <v>0</v>
      </c>
      <c r="M44" s="108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1:30" ht="16.5" thickBot="1" x14ac:dyDescent="0.3">
      <c r="A45" s="448" t="s">
        <v>150</v>
      </c>
      <c r="B45" s="449"/>
      <c r="C45" s="449"/>
      <c r="D45" s="449"/>
      <c r="E45" s="449"/>
      <c r="F45" s="450">
        <f>Q31+Q35+Q41</f>
        <v>0</v>
      </c>
      <c r="G45" s="450"/>
      <c r="H45" s="451"/>
      <c r="I45" s="22"/>
      <c r="J45" s="23"/>
      <c r="M45" s="107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</row>
    <row r="46" spans="1:30" x14ac:dyDescent="0.25">
      <c r="A46" s="108"/>
      <c r="B46" s="108"/>
      <c r="C46" s="108"/>
      <c r="D46" s="108"/>
      <c r="E46" s="108"/>
      <c r="F46" s="108"/>
      <c r="G46" s="108"/>
      <c r="H46" s="108"/>
      <c r="I46" s="73"/>
      <c r="J46" s="85" t="s">
        <v>95</v>
      </c>
      <c r="K46" s="56"/>
      <c r="L46" s="65">
        <f>0.1*L44</f>
        <v>0</v>
      </c>
      <c r="M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x14ac:dyDescent="0.25">
      <c r="A47" s="56"/>
      <c r="B47" s="56"/>
      <c r="C47" s="56"/>
      <c r="D47" s="56"/>
      <c r="E47" s="56"/>
      <c r="F47" s="56"/>
      <c r="G47" s="56"/>
      <c r="H47" s="56"/>
      <c r="I47" s="77"/>
      <c r="J47" s="85" t="s">
        <v>84</v>
      </c>
      <c r="K47" s="56"/>
      <c r="L47" s="75">
        <f>IF(L46=0,0,IF(B37+B38+B39&gt;L46,L46,B37+B38+B39))</f>
        <v>0</v>
      </c>
      <c r="M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</row>
    <row r="48" spans="1:30" x14ac:dyDescent="0.25">
      <c r="A48" s="56"/>
      <c r="B48" s="56"/>
      <c r="C48" s="56"/>
      <c r="D48" s="56"/>
      <c r="E48" s="56"/>
      <c r="F48" s="56"/>
      <c r="G48" s="56"/>
      <c r="H48" s="56"/>
      <c r="I48" s="73"/>
      <c r="J48" s="85"/>
      <c r="K48" s="56"/>
      <c r="L48" s="65"/>
      <c r="M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</row>
    <row r="49" spans="1:30" ht="15.75" x14ac:dyDescent="0.25">
      <c r="A49" s="56"/>
      <c r="B49" s="56"/>
      <c r="C49" s="56"/>
      <c r="D49" s="56"/>
      <c r="E49" s="56"/>
      <c r="F49" s="56"/>
      <c r="G49" s="56"/>
      <c r="H49" s="56"/>
      <c r="I49" s="100"/>
      <c r="J49" s="85" t="s">
        <v>88</v>
      </c>
      <c r="K49" s="56"/>
      <c r="L49" s="65">
        <f>L32-L47</f>
        <v>0</v>
      </c>
      <c r="M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</row>
    <row r="50" spans="1:30" ht="15.75" x14ac:dyDescent="0.25">
      <c r="A50" s="56"/>
      <c r="B50" s="56"/>
      <c r="C50" s="56"/>
      <c r="D50" s="56"/>
      <c r="E50" s="56"/>
      <c r="F50" s="56"/>
      <c r="G50" s="56"/>
      <c r="H50" s="56"/>
      <c r="I50" s="100"/>
      <c r="J50" s="85" t="s">
        <v>89</v>
      </c>
      <c r="K50" s="56"/>
      <c r="L50" s="65">
        <f>IF(B36=0,0,IF(B36&gt;L49,L49,B36))</f>
        <v>0</v>
      </c>
      <c r="M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</row>
    <row r="51" spans="1:30" ht="15.75" x14ac:dyDescent="0.25">
      <c r="A51" s="56"/>
      <c r="B51" s="56"/>
      <c r="C51" s="56"/>
      <c r="D51" s="56"/>
      <c r="E51" s="56"/>
      <c r="F51" s="56"/>
      <c r="G51" s="56"/>
      <c r="H51" s="56"/>
      <c r="I51" s="100"/>
      <c r="J51" s="85" t="s">
        <v>92</v>
      </c>
      <c r="K51" s="56"/>
      <c r="L51" s="75">
        <f>L50+L47</f>
        <v>0</v>
      </c>
      <c r="M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</row>
    <row r="52" spans="1:30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65"/>
      <c r="M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</row>
    <row r="53" spans="1:30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65"/>
      <c r="M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</row>
    <row r="54" spans="1:30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65"/>
      <c r="M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</row>
    <row r="55" spans="1:30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65"/>
      <c r="M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</row>
    <row r="56" spans="1:30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65"/>
      <c r="M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</row>
    <row r="57" spans="1:30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65"/>
      <c r="M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</row>
    <row r="71" spans="9:9" ht="15.75" x14ac:dyDescent="0.25">
      <c r="I71" s="32"/>
    </row>
    <row r="83" spans="12:12" x14ac:dyDescent="0.25">
      <c r="L83"/>
    </row>
    <row r="84" spans="12:12" x14ac:dyDescent="0.25">
      <c r="L84"/>
    </row>
    <row r="85" spans="12:12" x14ac:dyDescent="0.25">
      <c r="L85"/>
    </row>
    <row r="86" spans="12:12" x14ac:dyDescent="0.25">
      <c r="L86"/>
    </row>
    <row r="87" spans="12:12" x14ac:dyDescent="0.25">
      <c r="L87"/>
    </row>
    <row r="88" spans="12:12" x14ac:dyDescent="0.25">
      <c r="L88"/>
    </row>
    <row r="89" spans="12:12" x14ac:dyDescent="0.25">
      <c r="L89"/>
    </row>
    <row r="90" spans="12:12" x14ac:dyDescent="0.25">
      <c r="L90"/>
    </row>
    <row r="91" spans="12:12" x14ac:dyDescent="0.25">
      <c r="L91"/>
    </row>
    <row r="92" spans="12:12" x14ac:dyDescent="0.25">
      <c r="L92"/>
    </row>
    <row r="93" spans="12:12" x14ac:dyDescent="0.25">
      <c r="L93"/>
    </row>
    <row r="94" spans="12:12" x14ac:dyDescent="0.25">
      <c r="L94"/>
    </row>
    <row r="95" spans="12:12" x14ac:dyDescent="0.25">
      <c r="L95"/>
    </row>
    <row r="96" spans="12:12" x14ac:dyDescent="0.25">
      <c r="L96"/>
    </row>
    <row r="97" spans="12:12" x14ac:dyDescent="0.25">
      <c r="L97"/>
    </row>
    <row r="98" spans="12:12" x14ac:dyDescent="0.25">
      <c r="L98"/>
    </row>
    <row r="99" spans="12:12" x14ac:dyDescent="0.25">
      <c r="L99"/>
    </row>
    <row r="100" spans="12:12" x14ac:dyDescent="0.25">
      <c r="L100"/>
    </row>
    <row r="101" spans="12:12" x14ac:dyDescent="0.25">
      <c r="L101"/>
    </row>
    <row r="102" spans="12:12" x14ac:dyDescent="0.25">
      <c r="L102"/>
    </row>
    <row r="103" spans="12:12" x14ac:dyDescent="0.25">
      <c r="L103"/>
    </row>
    <row r="104" spans="12:12" x14ac:dyDescent="0.25">
      <c r="L104"/>
    </row>
    <row r="105" spans="12:12" x14ac:dyDescent="0.25">
      <c r="L105"/>
    </row>
    <row r="106" spans="12:12" x14ac:dyDescent="0.25">
      <c r="L106"/>
    </row>
    <row r="107" spans="12:12" x14ac:dyDescent="0.25">
      <c r="L107"/>
    </row>
    <row r="108" spans="12:12" x14ac:dyDescent="0.25">
      <c r="L108"/>
    </row>
    <row r="109" spans="12:12" x14ac:dyDescent="0.25">
      <c r="L109"/>
    </row>
    <row r="110" spans="12:12" x14ac:dyDescent="0.25">
      <c r="L110"/>
    </row>
    <row r="111" spans="12:12" x14ac:dyDescent="0.25">
      <c r="L111"/>
    </row>
    <row r="112" spans="12:12" x14ac:dyDescent="0.25">
      <c r="L112"/>
    </row>
    <row r="113" spans="12:12" x14ac:dyDescent="0.25">
      <c r="L113"/>
    </row>
    <row r="114" spans="12:12" x14ac:dyDescent="0.25">
      <c r="L114"/>
    </row>
    <row r="115" spans="12:12" x14ac:dyDescent="0.25">
      <c r="L115"/>
    </row>
    <row r="116" spans="12:12" x14ac:dyDescent="0.25">
      <c r="L116"/>
    </row>
    <row r="117" spans="12:12" x14ac:dyDescent="0.25">
      <c r="L117"/>
    </row>
    <row r="118" spans="12:12" x14ac:dyDescent="0.25">
      <c r="L118"/>
    </row>
    <row r="119" spans="12:12" x14ac:dyDescent="0.25">
      <c r="L119"/>
    </row>
    <row r="120" spans="12:12" x14ac:dyDescent="0.25">
      <c r="L120"/>
    </row>
    <row r="121" spans="12:12" x14ac:dyDescent="0.25">
      <c r="L121"/>
    </row>
    <row r="122" spans="12:12" x14ac:dyDescent="0.25">
      <c r="L122"/>
    </row>
    <row r="123" spans="12:12" x14ac:dyDescent="0.25">
      <c r="L123"/>
    </row>
    <row r="124" spans="12:12" x14ac:dyDescent="0.25">
      <c r="L124"/>
    </row>
    <row r="125" spans="12:12" x14ac:dyDescent="0.25">
      <c r="L125"/>
    </row>
    <row r="126" spans="12:12" x14ac:dyDescent="0.25">
      <c r="L126"/>
    </row>
    <row r="127" spans="12:12" x14ac:dyDescent="0.25">
      <c r="L127"/>
    </row>
    <row r="128" spans="12:12" x14ac:dyDescent="0.25">
      <c r="L128"/>
    </row>
    <row r="129" spans="12:12" x14ac:dyDescent="0.25">
      <c r="L129"/>
    </row>
    <row r="130" spans="12:12" x14ac:dyDescent="0.25">
      <c r="L130"/>
    </row>
    <row r="131" spans="12:12" x14ac:dyDescent="0.25">
      <c r="L131"/>
    </row>
    <row r="132" spans="12:12" x14ac:dyDescent="0.25">
      <c r="L132"/>
    </row>
    <row r="133" spans="12:12" x14ac:dyDescent="0.25">
      <c r="L133"/>
    </row>
    <row r="134" spans="12:12" x14ac:dyDescent="0.25">
      <c r="L134"/>
    </row>
    <row r="135" spans="12:12" x14ac:dyDescent="0.25">
      <c r="L135"/>
    </row>
    <row r="136" spans="12:12" x14ac:dyDescent="0.25">
      <c r="L136"/>
    </row>
    <row r="137" spans="12:12" x14ac:dyDescent="0.25">
      <c r="L137"/>
    </row>
    <row r="138" spans="12:12" x14ac:dyDescent="0.25">
      <c r="L138"/>
    </row>
    <row r="139" spans="12:12" x14ac:dyDescent="0.25">
      <c r="L139"/>
    </row>
    <row r="140" spans="12:12" x14ac:dyDescent="0.25">
      <c r="L140"/>
    </row>
    <row r="141" spans="12:12" x14ac:dyDescent="0.25">
      <c r="L141"/>
    </row>
    <row r="142" spans="12:12" x14ac:dyDescent="0.25">
      <c r="L142"/>
    </row>
    <row r="143" spans="12:12" x14ac:dyDescent="0.25">
      <c r="L143"/>
    </row>
    <row r="144" spans="12:12" x14ac:dyDescent="0.25">
      <c r="L144"/>
    </row>
    <row r="145" spans="12:12" x14ac:dyDescent="0.25">
      <c r="L145"/>
    </row>
    <row r="146" spans="12:12" x14ac:dyDescent="0.25">
      <c r="L146"/>
    </row>
    <row r="147" spans="12:12" x14ac:dyDescent="0.25">
      <c r="L147"/>
    </row>
    <row r="148" spans="12:12" x14ac:dyDescent="0.25">
      <c r="L148"/>
    </row>
    <row r="149" spans="12:12" x14ac:dyDescent="0.25">
      <c r="L149"/>
    </row>
    <row r="150" spans="12:12" x14ac:dyDescent="0.25">
      <c r="L150"/>
    </row>
    <row r="151" spans="12:12" x14ac:dyDescent="0.25">
      <c r="L151"/>
    </row>
    <row r="152" spans="12:12" x14ac:dyDescent="0.25">
      <c r="L152"/>
    </row>
    <row r="153" spans="12:12" x14ac:dyDescent="0.25">
      <c r="L153"/>
    </row>
    <row r="154" spans="12:12" x14ac:dyDescent="0.25">
      <c r="L154"/>
    </row>
    <row r="155" spans="12:12" x14ac:dyDescent="0.25">
      <c r="L155"/>
    </row>
    <row r="156" spans="12:12" x14ac:dyDescent="0.25">
      <c r="L156"/>
    </row>
    <row r="157" spans="12:12" x14ac:dyDescent="0.25">
      <c r="L157"/>
    </row>
    <row r="158" spans="12:12" x14ac:dyDescent="0.25">
      <c r="L158"/>
    </row>
    <row r="159" spans="12:12" x14ac:dyDescent="0.25">
      <c r="L159"/>
    </row>
    <row r="160" spans="12:12" x14ac:dyDescent="0.25">
      <c r="L160"/>
    </row>
    <row r="161" spans="12:12" x14ac:dyDescent="0.25">
      <c r="L161"/>
    </row>
    <row r="162" spans="12:12" x14ac:dyDescent="0.25">
      <c r="L162"/>
    </row>
    <row r="163" spans="12:12" x14ac:dyDescent="0.25">
      <c r="L163"/>
    </row>
    <row r="164" spans="12:12" x14ac:dyDescent="0.25">
      <c r="L164"/>
    </row>
    <row r="165" spans="12:12" x14ac:dyDescent="0.25">
      <c r="L165"/>
    </row>
    <row r="166" spans="12:12" x14ac:dyDescent="0.25">
      <c r="L166"/>
    </row>
    <row r="167" spans="12:12" x14ac:dyDescent="0.25">
      <c r="L167"/>
    </row>
    <row r="168" spans="12:12" x14ac:dyDescent="0.25">
      <c r="L168"/>
    </row>
    <row r="169" spans="12:12" x14ac:dyDescent="0.25">
      <c r="L169"/>
    </row>
    <row r="170" spans="12:12" x14ac:dyDescent="0.25">
      <c r="L170"/>
    </row>
    <row r="171" spans="12:12" x14ac:dyDescent="0.25">
      <c r="L171"/>
    </row>
    <row r="172" spans="12:12" x14ac:dyDescent="0.25">
      <c r="L172"/>
    </row>
    <row r="173" spans="12:12" x14ac:dyDescent="0.25">
      <c r="L173"/>
    </row>
    <row r="174" spans="12:12" x14ac:dyDescent="0.25">
      <c r="L174"/>
    </row>
    <row r="175" spans="12:12" x14ac:dyDescent="0.25">
      <c r="L175"/>
    </row>
    <row r="176" spans="12:12" x14ac:dyDescent="0.25">
      <c r="L176"/>
    </row>
    <row r="177" spans="12:12" x14ac:dyDescent="0.25">
      <c r="L177"/>
    </row>
    <row r="178" spans="12:12" x14ac:dyDescent="0.25">
      <c r="L178"/>
    </row>
    <row r="179" spans="12:12" x14ac:dyDescent="0.25">
      <c r="L179"/>
    </row>
    <row r="180" spans="12:12" x14ac:dyDescent="0.25">
      <c r="L180"/>
    </row>
    <row r="181" spans="12:12" x14ac:dyDescent="0.25">
      <c r="L181"/>
    </row>
    <row r="182" spans="12:12" x14ac:dyDescent="0.25">
      <c r="L182"/>
    </row>
    <row r="183" spans="12:12" x14ac:dyDescent="0.25">
      <c r="L183"/>
    </row>
    <row r="184" spans="12:12" x14ac:dyDescent="0.25">
      <c r="L184"/>
    </row>
    <row r="185" spans="12:12" x14ac:dyDescent="0.25">
      <c r="L185"/>
    </row>
    <row r="186" spans="12:12" x14ac:dyDescent="0.25">
      <c r="L186"/>
    </row>
    <row r="187" spans="12:12" x14ac:dyDescent="0.25">
      <c r="L187"/>
    </row>
    <row r="188" spans="12:12" x14ac:dyDescent="0.25">
      <c r="L188"/>
    </row>
    <row r="189" spans="12:12" x14ac:dyDescent="0.25">
      <c r="L189"/>
    </row>
    <row r="190" spans="12:12" x14ac:dyDescent="0.25">
      <c r="L190"/>
    </row>
    <row r="191" spans="12:12" x14ac:dyDescent="0.25">
      <c r="L191"/>
    </row>
    <row r="192" spans="12:12" x14ac:dyDescent="0.25">
      <c r="L192"/>
    </row>
    <row r="193" spans="12:12" x14ac:dyDescent="0.25">
      <c r="L193"/>
    </row>
    <row r="194" spans="12:12" x14ac:dyDescent="0.25">
      <c r="L194"/>
    </row>
    <row r="195" spans="12:12" x14ac:dyDescent="0.25">
      <c r="L195"/>
    </row>
    <row r="196" spans="12:12" x14ac:dyDescent="0.25">
      <c r="L196"/>
    </row>
    <row r="197" spans="12:12" x14ac:dyDescent="0.25">
      <c r="L197"/>
    </row>
    <row r="198" spans="12:12" x14ac:dyDescent="0.25">
      <c r="L198"/>
    </row>
    <row r="199" spans="12:12" x14ac:dyDescent="0.25">
      <c r="L199"/>
    </row>
    <row r="200" spans="12:12" x14ac:dyDescent="0.25">
      <c r="L200"/>
    </row>
    <row r="201" spans="12:12" x14ac:dyDescent="0.25">
      <c r="L201"/>
    </row>
    <row r="202" spans="12:12" x14ac:dyDescent="0.25">
      <c r="L202"/>
    </row>
    <row r="203" spans="12:12" x14ac:dyDescent="0.25">
      <c r="L203"/>
    </row>
    <row r="204" spans="12:12" x14ac:dyDescent="0.25">
      <c r="L204"/>
    </row>
    <row r="205" spans="12:12" x14ac:dyDescent="0.25">
      <c r="L205"/>
    </row>
    <row r="206" spans="12:12" x14ac:dyDescent="0.25">
      <c r="L206"/>
    </row>
    <row r="207" spans="12:12" x14ac:dyDescent="0.25">
      <c r="L207"/>
    </row>
    <row r="208" spans="12:12" x14ac:dyDescent="0.25">
      <c r="L208"/>
    </row>
    <row r="209" spans="12:12" x14ac:dyDescent="0.25">
      <c r="L209"/>
    </row>
    <row r="210" spans="12:12" x14ac:dyDescent="0.25">
      <c r="L210"/>
    </row>
    <row r="211" spans="12:12" x14ac:dyDescent="0.25">
      <c r="L211"/>
    </row>
    <row r="212" spans="12:12" x14ac:dyDescent="0.25">
      <c r="L212"/>
    </row>
    <row r="213" spans="12:12" x14ac:dyDescent="0.25">
      <c r="L213"/>
    </row>
    <row r="214" spans="12:12" x14ac:dyDescent="0.25">
      <c r="L214"/>
    </row>
    <row r="215" spans="12:12" x14ac:dyDescent="0.25">
      <c r="L215"/>
    </row>
    <row r="216" spans="12:12" x14ac:dyDescent="0.25">
      <c r="L216"/>
    </row>
    <row r="217" spans="12:12" x14ac:dyDescent="0.25">
      <c r="L217"/>
    </row>
    <row r="218" spans="12:12" x14ac:dyDescent="0.25">
      <c r="L218"/>
    </row>
    <row r="219" spans="12:12" x14ac:dyDescent="0.25">
      <c r="L219"/>
    </row>
    <row r="220" spans="12:12" x14ac:dyDescent="0.25">
      <c r="L220"/>
    </row>
    <row r="221" spans="12:12" x14ac:dyDescent="0.25">
      <c r="L221"/>
    </row>
    <row r="222" spans="12:12" x14ac:dyDescent="0.25">
      <c r="L222"/>
    </row>
    <row r="223" spans="12:12" x14ac:dyDescent="0.25">
      <c r="L223"/>
    </row>
    <row r="224" spans="12:12" x14ac:dyDescent="0.25">
      <c r="L224"/>
    </row>
    <row r="225" spans="12:12" x14ac:dyDescent="0.25">
      <c r="L225"/>
    </row>
    <row r="226" spans="12:12" x14ac:dyDescent="0.25">
      <c r="L226"/>
    </row>
    <row r="227" spans="12:12" x14ac:dyDescent="0.25">
      <c r="L227"/>
    </row>
    <row r="228" spans="12:12" x14ac:dyDescent="0.25">
      <c r="L228"/>
    </row>
    <row r="229" spans="12:12" x14ac:dyDescent="0.25">
      <c r="L229"/>
    </row>
    <row r="230" spans="12:12" x14ac:dyDescent="0.25">
      <c r="L230"/>
    </row>
    <row r="231" spans="12:12" x14ac:dyDescent="0.25">
      <c r="L231"/>
    </row>
    <row r="232" spans="12:12" x14ac:dyDescent="0.25">
      <c r="L232"/>
    </row>
    <row r="233" spans="12:12" x14ac:dyDescent="0.25">
      <c r="L233"/>
    </row>
    <row r="234" spans="12:12" x14ac:dyDescent="0.25">
      <c r="L234"/>
    </row>
    <row r="235" spans="12:12" x14ac:dyDescent="0.25">
      <c r="L235"/>
    </row>
    <row r="236" spans="12:12" x14ac:dyDescent="0.25">
      <c r="L236"/>
    </row>
    <row r="237" spans="12:12" x14ac:dyDescent="0.25">
      <c r="L237"/>
    </row>
    <row r="238" spans="12:12" x14ac:dyDescent="0.25">
      <c r="L238"/>
    </row>
    <row r="239" spans="12:12" x14ac:dyDescent="0.25">
      <c r="L239"/>
    </row>
    <row r="240" spans="12:12" x14ac:dyDescent="0.25">
      <c r="L240"/>
    </row>
    <row r="241" spans="12:12" x14ac:dyDescent="0.25">
      <c r="L241"/>
    </row>
    <row r="242" spans="12:12" x14ac:dyDescent="0.25">
      <c r="L242"/>
    </row>
    <row r="243" spans="12:12" x14ac:dyDescent="0.25">
      <c r="L243"/>
    </row>
    <row r="244" spans="12:12" x14ac:dyDescent="0.25">
      <c r="L244"/>
    </row>
    <row r="245" spans="12:12" x14ac:dyDescent="0.25">
      <c r="L245"/>
    </row>
    <row r="246" spans="12:12" x14ac:dyDescent="0.25">
      <c r="L246"/>
    </row>
    <row r="247" spans="12:12" x14ac:dyDescent="0.25">
      <c r="L247"/>
    </row>
    <row r="248" spans="12:12" x14ac:dyDescent="0.25">
      <c r="L248"/>
    </row>
    <row r="249" spans="12:12" x14ac:dyDescent="0.25">
      <c r="L249"/>
    </row>
    <row r="250" spans="12:12" x14ac:dyDescent="0.25">
      <c r="L250"/>
    </row>
    <row r="251" spans="12:12" x14ac:dyDescent="0.25">
      <c r="L251"/>
    </row>
    <row r="252" spans="12:12" x14ac:dyDescent="0.25">
      <c r="L252"/>
    </row>
    <row r="253" spans="12:12" x14ac:dyDescent="0.25">
      <c r="L253"/>
    </row>
    <row r="254" spans="12:12" x14ac:dyDescent="0.25">
      <c r="L254"/>
    </row>
    <row r="255" spans="12:12" x14ac:dyDescent="0.25">
      <c r="L255"/>
    </row>
    <row r="256" spans="12:12" x14ac:dyDescent="0.25">
      <c r="L256"/>
    </row>
    <row r="257" spans="12:12" x14ac:dyDescent="0.25">
      <c r="L257"/>
    </row>
    <row r="258" spans="12:12" x14ac:dyDescent="0.25">
      <c r="L258"/>
    </row>
    <row r="259" spans="12:12" x14ac:dyDescent="0.25">
      <c r="L259"/>
    </row>
    <row r="260" spans="12:12" x14ac:dyDescent="0.25">
      <c r="L260"/>
    </row>
    <row r="261" spans="12:12" x14ac:dyDescent="0.25">
      <c r="L261"/>
    </row>
    <row r="262" spans="12:12" x14ac:dyDescent="0.25">
      <c r="L262"/>
    </row>
    <row r="263" spans="12:12" x14ac:dyDescent="0.25">
      <c r="L263"/>
    </row>
    <row r="264" spans="12:12" x14ac:dyDescent="0.25">
      <c r="L264"/>
    </row>
    <row r="265" spans="12:12" x14ac:dyDescent="0.25">
      <c r="L265"/>
    </row>
    <row r="266" spans="12:12" x14ac:dyDescent="0.25">
      <c r="L266"/>
    </row>
    <row r="267" spans="12:12" x14ac:dyDescent="0.25">
      <c r="L267"/>
    </row>
    <row r="268" spans="12:12" x14ac:dyDescent="0.25">
      <c r="L268"/>
    </row>
    <row r="269" spans="12:12" x14ac:dyDescent="0.25">
      <c r="L269"/>
    </row>
    <row r="270" spans="12:12" x14ac:dyDescent="0.25">
      <c r="L270"/>
    </row>
    <row r="271" spans="12:12" x14ac:dyDescent="0.25">
      <c r="L271"/>
    </row>
    <row r="272" spans="12:12" x14ac:dyDescent="0.25">
      <c r="L272"/>
    </row>
    <row r="273" spans="12:12" x14ac:dyDescent="0.25">
      <c r="L273"/>
    </row>
    <row r="274" spans="12:12" x14ac:dyDescent="0.25">
      <c r="L274"/>
    </row>
    <row r="275" spans="12:12" x14ac:dyDescent="0.25">
      <c r="L275"/>
    </row>
    <row r="276" spans="12:12" x14ac:dyDescent="0.25">
      <c r="L276"/>
    </row>
    <row r="277" spans="12:12" x14ac:dyDescent="0.25">
      <c r="L277"/>
    </row>
    <row r="278" spans="12:12" x14ac:dyDescent="0.25">
      <c r="L278"/>
    </row>
    <row r="279" spans="12:12" x14ac:dyDescent="0.25">
      <c r="L279"/>
    </row>
    <row r="280" spans="12:12" x14ac:dyDescent="0.25">
      <c r="L280"/>
    </row>
    <row r="281" spans="12:12" x14ac:dyDescent="0.25">
      <c r="L281"/>
    </row>
    <row r="282" spans="12:12" x14ac:dyDescent="0.25">
      <c r="L282"/>
    </row>
    <row r="283" spans="12:12" x14ac:dyDescent="0.25">
      <c r="L283"/>
    </row>
    <row r="284" spans="12:12" x14ac:dyDescent="0.25">
      <c r="L284"/>
    </row>
    <row r="285" spans="12:12" x14ac:dyDescent="0.25">
      <c r="L285"/>
    </row>
    <row r="286" spans="12:12" x14ac:dyDescent="0.25">
      <c r="L286"/>
    </row>
    <row r="287" spans="12:12" x14ac:dyDescent="0.25">
      <c r="L287"/>
    </row>
    <row r="288" spans="12:12" x14ac:dyDescent="0.25">
      <c r="L288"/>
    </row>
    <row r="289" spans="12:12" x14ac:dyDescent="0.25">
      <c r="L289"/>
    </row>
    <row r="290" spans="12:12" x14ac:dyDescent="0.25">
      <c r="L290"/>
    </row>
    <row r="291" spans="12:12" x14ac:dyDescent="0.25">
      <c r="L291"/>
    </row>
    <row r="292" spans="12:12" x14ac:dyDescent="0.25">
      <c r="L292"/>
    </row>
    <row r="293" spans="12:12" x14ac:dyDescent="0.25">
      <c r="L293"/>
    </row>
    <row r="294" spans="12:12" x14ac:dyDescent="0.25">
      <c r="L294"/>
    </row>
    <row r="295" spans="12:12" x14ac:dyDescent="0.25">
      <c r="L295"/>
    </row>
    <row r="296" spans="12:12" x14ac:dyDescent="0.25">
      <c r="L296"/>
    </row>
    <row r="297" spans="12:12" x14ac:dyDescent="0.25">
      <c r="L297"/>
    </row>
    <row r="298" spans="12:12" x14ac:dyDescent="0.25">
      <c r="L298"/>
    </row>
    <row r="299" spans="12:12" x14ac:dyDescent="0.25">
      <c r="L299"/>
    </row>
    <row r="300" spans="12:12" x14ac:dyDescent="0.25">
      <c r="L300"/>
    </row>
    <row r="301" spans="12:12" x14ac:dyDescent="0.25">
      <c r="L301"/>
    </row>
    <row r="302" spans="12:12" x14ac:dyDescent="0.25">
      <c r="L302"/>
    </row>
    <row r="303" spans="12:12" x14ac:dyDescent="0.25">
      <c r="L303"/>
    </row>
    <row r="304" spans="12:12" x14ac:dyDescent="0.25">
      <c r="L304"/>
    </row>
    <row r="305" spans="12:12" x14ac:dyDescent="0.25">
      <c r="L305"/>
    </row>
    <row r="306" spans="12:12" x14ac:dyDescent="0.25">
      <c r="L306"/>
    </row>
    <row r="307" spans="12:12" x14ac:dyDescent="0.25">
      <c r="L307"/>
    </row>
    <row r="308" spans="12:12" x14ac:dyDescent="0.25">
      <c r="L308"/>
    </row>
    <row r="309" spans="12:12" x14ac:dyDescent="0.25">
      <c r="L309"/>
    </row>
    <row r="310" spans="12:12" x14ac:dyDescent="0.25">
      <c r="L310"/>
    </row>
    <row r="311" spans="12:12" x14ac:dyDescent="0.25">
      <c r="L311"/>
    </row>
    <row r="312" spans="12:12" x14ac:dyDescent="0.25">
      <c r="L312"/>
    </row>
    <row r="313" spans="12:12" x14ac:dyDescent="0.25">
      <c r="L313"/>
    </row>
    <row r="314" spans="12:12" x14ac:dyDescent="0.25">
      <c r="L314"/>
    </row>
    <row r="315" spans="12:12" x14ac:dyDescent="0.25">
      <c r="L315"/>
    </row>
    <row r="316" spans="12:12" x14ac:dyDescent="0.25">
      <c r="L316"/>
    </row>
    <row r="317" spans="12:12" x14ac:dyDescent="0.25">
      <c r="L317"/>
    </row>
    <row r="318" spans="12:12" x14ac:dyDescent="0.25">
      <c r="L318"/>
    </row>
    <row r="319" spans="12:12" x14ac:dyDescent="0.25">
      <c r="L319"/>
    </row>
    <row r="320" spans="12:12" x14ac:dyDescent="0.25">
      <c r="L320"/>
    </row>
    <row r="321" spans="12:12" x14ac:dyDescent="0.25">
      <c r="L321"/>
    </row>
    <row r="322" spans="12:12" x14ac:dyDescent="0.25">
      <c r="L322"/>
    </row>
    <row r="323" spans="12:12" x14ac:dyDescent="0.25">
      <c r="L323"/>
    </row>
    <row r="324" spans="12:12" x14ac:dyDescent="0.25">
      <c r="L324"/>
    </row>
    <row r="325" spans="12:12" x14ac:dyDescent="0.25">
      <c r="L325"/>
    </row>
    <row r="326" spans="12:12" x14ac:dyDescent="0.25">
      <c r="L326"/>
    </row>
    <row r="327" spans="12:12" x14ac:dyDescent="0.25">
      <c r="L327"/>
    </row>
    <row r="328" spans="12:12" x14ac:dyDescent="0.25">
      <c r="L328"/>
    </row>
    <row r="329" spans="12:12" x14ac:dyDescent="0.25">
      <c r="L329"/>
    </row>
    <row r="330" spans="12:12" x14ac:dyDescent="0.25">
      <c r="L330"/>
    </row>
    <row r="331" spans="12:12" x14ac:dyDescent="0.25">
      <c r="L331"/>
    </row>
    <row r="332" spans="12:12" x14ac:dyDescent="0.25">
      <c r="L332"/>
    </row>
    <row r="333" spans="12:12" x14ac:dyDescent="0.25">
      <c r="L333"/>
    </row>
    <row r="334" spans="12:12" x14ac:dyDescent="0.25">
      <c r="L334"/>
    </row>
    <row r="335" spans="12:12" x14ac:dyDescent="0.25">
      <c r="L335"/>
    </row>
    <row r="336" spans="12:12" x14ac:dyDescent="0.25">
      <c r="L336"/>
    </row>
    <row r="337" spans="12:12" x14ac:dyDescent="0.25">
      <c r="L337"/>
    </row>
    <row r="338" spans="12:12" x14ac:dyDescent="0.25">
      <c r="L338"/>
    </row>
    <row r="339" spans="12:12" x14ac:dyDescent="0.25">
      <c r="L339"/>
    </row>
    <row r="340" spans="12:12" x14ac:dyDescent="0.25">
      <c r="L340"/>
    </row>
    <row r="341" spans="12:12" x14ac:dyDescent="0.25">
      <c r="L341"/>
    </row>
    <row r="342" spans="12:12" x14ac:dyDescent="0.25">
      <c r="L342"/>
    </row>
    <row r="343" spans="12:12" x14ac:dyDescent="0.25">
      <c r="L343"/>
    </row>
    <row r="344" spans="12:12" x14ac:dyDescent="0.25">
      <c r="L344"/>
    </row>
    <row r="345" spans="12:12" x14ac:dyDescent="0.25">
      <c r="L345"/>
    </row>
    <row r="346" spans="12:12" x14ac:dyDescent="0.25">
      <c r="L346"/>
    </row>
    <row r="347" spans="12:12" x14ac:dyDescent="0.25">
      <c r="L347"/>
    </row>
    <row r="348" spans="12:12" x14ac:dyDescent="0.25">
      <c r="L348"/>
    </row>
    <row r="349" spans="12:12" x14ac:dyDescent="0.25">
      <c r="L349"/>
    </row>
    <row r="350" spans="12:12" x14ac:dyDescent="0.25">
      <c r="L350"/>
    </row>
    <row r="351" spans="12:12" x14ac:dyDescent="0.25">
      <c r="L351"/>
    </row>
    <row r="352" spans="12:12" x14ac:dyDescent="0.25">
      <c r="L352"/>
    </row>
    <row r="353" spans="12:12" x14ac:dyDescent="0.25">
      <c r="L353"/>
    </row>
    <row r="354" spans="12:12" x14ac:dyDescent="0.25">
      <c r="L354"/>
    </row>
    <row r="355" spans="12:12" x14ac:dyDescent="0.25">
      <c r="L355"/>
    </row>
    <row r="356" spans="12:12" x14ac:dyDescent="0.25">
      <c r="L356"/>
    </row>
    <row r="357" spans="12:12" x14ac:dyDescent="0.25">
      <c r="L357"/>
    </row>
    <row r="358" spans="12:12" x14ac:dyDescent="0.25">
      <c r="L358"/>
    </row>
    <row r="359" spans="12:12" x14ac:dyDescent="0.25">
      <c r="L359"/>
    </row>
    <row r="360" spans="12:12" x14ac:dyDescent="0.25">
      <c r="L360"/>
    </row>
    <row r="361" spans="12:12" x14ac:dyDescent="0.25">
      <c r="L361"/>
    </row>
    <row r="362" spans="12:12" x14ac:dyDescent="0.25">
      <c r="L362"/>
    </row>
    <row r="363" spans="12:12" x14ac:dyDescent="0.25">
      <c r="L363"/>
    </row>
    <row r="364" spans="12:12" x14ac:dyDescent="0.25">
      <c r="L364"/>
    </row>
    <row r="365" spans="12:12" x14ac:dyDescent="0.25">
      <c r="L365"/>
    </row>
    <row r="366" spans="12:12" x14ac:dyDescent="0.25">
      <c r="L366"/>
    </row>
    <row r="367" spans="12:12" x14ac:dyDescent="0.25">
      <c r="L367"/>
    </row>
    <row r="368" spans="12:12" x14ac:dyDescent="0.25">
      <c r="L368"/>
    </row>
    <row r="369" spans="12:12" x14ac:dyDescent="0.25">
      <c r="L369"/>
    </row>
    <row r="370" spans="12:12" x14ac:dyDescent="0.25">
      <c r="L370"/>
    </row>
    <row r="371" spans="12:12" x14ac:dyDescent="0.25">
      <c r="L371"/>
    </row>
    <row r="372" spans="12:12" x14ac:dyDescent="0.25">
      <c r="L372"/>
    </row>
    <row r="373" spans="12:12" x14ac:dyDescent="0.25">
      <c r="L373"/>
    </row>
    <row r="374" spans="12:12" x14ac:dyDescent="0.25">
      <c r="L374"/>
    </row>
    <row r="375" spans="12:12" x14ac:dyDescent="0.25">
      <c r="L375"/>
    </row>
    <row r="376" spans="12:12" x14ac:dyDescent="0.25">
      <c r="L376"/>
    </row>
    <row r="377" spans="12:12" x14ac:dyDescent="0.25">
      <c r="L377"/>
    </row>
    <row r="378" spans="12:12" x14ac:dyDescent="0.25">
      <c r="L378"/>
    </row>
    <row r="379" spans="12:12" x14ac:dyDescent="0.25">
      <c r="L379"/>
    </row>
    <row r="380" spans="12:12" x14ac:dyDescent="0.25">
      <c r="L380"/>
    </row>
    <row r="381" spans="12:12" x14ac:dyDescent="0.25">
      <c r="L381"/>
    </row>
    <row r="382" spans="12:12" x14ac:dyDescent="0.25">
      <c r="L382"/>
    </row>
    <row r="383" spans="12:12" x14ac:dyDescent="0.25">
      <c r="L383"/>
    </row>
    <row r="384" spans="12:12" x14ac:dyDescent="0.25">
      <c r="L384"/>
    </row>
    <row r="385" spans="12:12" x14ac:dyDescent="0.25">
      <c r="L385"/>
    </row>
    <row r="386" spans="12:12" x14ac:dyDescent="0.25">
      <c r="L386"/>
    </row>
    <row r="387" spans="12:12" x14ac:dyDescent="0.25">
      <c r="L387"/>
    </row>
    <row r="388" spans="12:12" x14ac:dyDescent="0.25">
      <c r="L388"/>
    </row>
    <row r="389" spans="12:12" x14ac:dyDescent="0.25">
      <c r="L389"/>
    </row>
    <row r="390" spans="12:12" x14ac:dyDescent="0.25">
      <c r="L390"/>
    </row>
    <row r="391" spans="12:12" x14ac:dyDescent="0.25">
      <c r="L391"/>
    </row>
    <row r="392" spans="12:12" x14ac:dyDescent="0.25">
      <c r="L392"/>
    </row>
    <row r="393" spans="12:12" x14ac:dyDescent="0.25">
      <c r="L393"/>
    </row>
    <row r="394" spans="12:12" x14ac:dyDescent="0.25">
      <c r="L394"/>
    </row>
    <row r="395" spans="12:12" x14ac:dyDescent="0.25">
      <c r="L395"/>
    </row>
    <row r="396" spans="12:12" x14ac:dyDescent="0.25">
      <c r="L396"/>
    </row>
    <row r="397" spans="12:12" x14ac:dyDescent="0.25">
      <c r="L397"/>
    </row>
    <row r="398" spans="12:12" x14ac:dyDescent="0.25">
      <c r="L398"/>
    </row>
    <row r="399" spans="12:12" x14ac:dyDescent="0.25">
      <c r="L399"/>
    </row>
    <row r="400" spans="12:12" x14ac:dyDescent="0.25">
      <c r="L400"/>
    </row>
    <row r="401" spans="12:12" x14ac:dyDescent="0.25">
      <c r="L401"/>
    </row>
    <row r="402" spans="12:12" x14ac:dyDescent="0.25">
      <c r="L402"/>
    </row>
    <row r="403" spans="12:12" x14ac:dyDescent="0.25">
      <c r="L403"/>
    </row>
    <row r="404" spans="12:12" x14ac:dyDescent="0.25">
      <c r="L404"/>
    </row>
    <row r="405" spans="12:12" x14ac:dyDescent="0.25">
      <c r="L405"/>
    </row>
    <row r="406" spans="12:12" x14ac:dyDescent="0.25">
      <c r="L406"/>
    </row>
    <row r="407" spans="12:12" x14ac:dyDescent="0.25">
      <c r="L407"/>
    </row>
    <row r="408" spans="12:12" x14ac:dyDescent="0.25">
      <c r="L408"/>
    </row>
    <row r="409" spans="12:12" x14ac:dyDescent="0.25">
      <c r="L409"/>
    </row>
    <row r="410" spans="12:12" x14ac:dyDescent="0.25">
      <c r="L410"/>
    </row>
    <row r="411" spans="12:12" x14ac:dyDescent="0.25">
      <c r="L411"/>
    </row>
    <row r="412" spans="12:12" x14ac:dyDescent="0.25">
      <c r="L412"/>
    </row>
    <row r="413" spans="12:12" x14ac:dyDescent="0.25">
      <c r="L413"/>
    </row>
    <row r="414" spans="12:12" x14ac:dyDescent="0.25">
      <c r="L414"/>
    </row>
    <row r="415" spans="12:12" x14ac:dyDescent="0.25">
      <c r="L415"/>
    </row>
    <row r="416" spans="12:12" x14ac:dyDescent="0.25">
      <c r="L416"/>
    </row>
    <row r="417" spans="12:12" x14ac:dyDescent="0.25">
      <c r="L417"/>
    </row>
    <row r="418" spans="12:12" x14ac:dyDescent="0.25">
      <c r="L418"/>
    </row>
    <row r="419" spans="12:12" x14ac:dyDescent="0.25">
      <c r="L419"/>
    </row>
    <row r="420" spans="12:12" x14ac:dyDescent="0.25">
      <c r="L420"/>
    </row>
    <row r="421" spans="12:12" x14ac:dyDescent="0.25">
      <c r="L421"/>
    </row>
    <row r="422" spans="12:12" x14ac:dyDescent="0.25">
      <c r="L422"/>
    </row>
    <row r="423" spans="12:12" x14ac:dyDescent="0.25">
      <c r="L423"/>
    </row>
    <row r="424" spans="12:12" x14ac:dyDescent="0.25">
      <c r="L424"/>
    </row>
    <row r="425" spans="12:12" x14ac:dyDescent="0.25">
      <c r="L425"/>
    </row>
    <row r="426" spans="12:12" x14ac:dyDescent="0.25">
      <c r="L426"/>
    </row>
    <row r="427" spans="12:12" x14ac:dyDescent="0.25">
      <c r="L427"/>
    </row>
    <row r="428" spans="12:12" x14ac:dyDescent="0.25">
      <c r="L428"/>
    </row>
    <row r="429" spans="12:12" x14ac:dyDescent="0.25">
      <c r="L429"/>
    </row>
    <row r="430" spans="12:12" x14ac:dyDescent="0.25">
      <c r="L430"/>
    </row>
    <row r="431" spans="12:12" x14ac:dyDescent="0.25">
      <c r="L431"/>
    </row>
    <row r="432" spans="12:12" x14ac:dyDescent="0.25">
      <c r="L432"/>
    </row>
    <row r="433" spans="12:12" x14ac:dyDescent="0.25">
      <c r="L433"/>
    </row>
    <row r="434" spans="12:12" x14ac:dyDescent="0.25">
      <c r="L434"/>
    </row>
    <row r="435" spans="12:12" x14ac:dyDescent="0.25">
      <c r="L435"/>
    </row>
    <row r="436" spans="12:12" x14ac:dyDescent="0.25">
      <c r="L436"/>
    </row>
    <row r="437" spans="12:12" x14ac:dyDescent="0.25">
      <c r="L437"/>
    </row>
    <row r="438" spans="12:12" x14ac:dyDescent="0.25">
      <c r="L438"/>
    </row>
    <row r="439" spans="12:12" x14ac:dyDescent="0.25">
      <c r="L439"/>
    </row>
    <row r="440" spans="12:12" x14ac:dyDescent="0.25">
      <c r="L440"/>
    </row>
    <row r="441" spans="12:12" x14ac:dyDescent="0.25">
      <c r="L441"/>
    </row>
    <row r="442" spans="12:12" x14ac:dyDescent="0.25">
      <c r="L442"/>
    </row>
    <row r="443" spans="12:12" x14ac:dyDescent="0.25">
      <c r="L443"/>
    </row>
    <row r="444" spans="12:12" x14ac:dyDescent="0.25">
      <c r="L444"/>
    </row>
    <row r="445" spans="12:12" x14ac:dyDescent="0.25">
      <c r="L445"/>
    </row>
    <row r="446" spans="12:12" x14ac:dyDescent="0.25">
      <c r="L446"/>
    </row>
    <row r="447" spans="12:12" x14ac:dyDescent="0.25">
      <c r="L447"/>
    </row>
    <row r="448" spans="12:12" x14ac:dyDescent="0.25">
      <c r="L448"/>
    </row>
    <row r="449" spans="12:12" x14ac:dyDescent="0.25">
      <c r="L449"/>
    </row>
    <row r="450" spans="12:12" x14ac:dyDescent="0.25">
      <c r="L450"/>
    </row>
    <row r="451" spans="12:12" x14ac:dyDescent="0.25">
      <c r="L451"/>
    </row>
    <row r="452" spans="12:12" x14ac:dyDescent="0.25">
      <c r="L452"/>
    </row>
    <row r="453" spans="12:12" x14ac:dyDescent="0.25">
      <c r="L453"/>
    </row>
    <row r="454" spans="12:12" x14ac:dyDescent="0.25">
      <c r="L454"/>
    </row>
    <row r="455" spans="12:12" x14ac:dyDescent="0.25">
      <c r="L455"/>
    </row>
    <row r="456" spans="12:12" x14ac:dyDescent="0.25">
      <c r="L456"/>
    </row>
    <row r="457" spans="12:12" x14ac:dyDescent="0.25">
      <c r="L457"/>
    </row>
    <row r="458" spans="12:12" x14ac:dyDescent="0.25">
      <c r="L458"/>
    </row>
    <row r="459" spans="12:12" x14ac:dyDescent="0.25">
      <c r="L459"/>
    </row>
    <row r="460" spans="12:12" x14ac:dyDescent="0.25">
      <c r="L460"/>
    </row>
    <row r="461" spans="12:12" x14ac:dyDescent="0.25">
      <c r="L461"/>
    </row>
    <row r="462" spans="12:12" x14ac:dyDescent="0.25">
      <c r="L462"/>
    </row>
    <row r="463" spans="12:12" x14ac:dyDescent="0.25">
      <c r="L463"/>
    </row>
    <row r="464" spans="12:12" x14ac:dyDescent="0.25">
      <c r="L464"/>
    </row>
    <row r="465" spans="12:12" x14ac:dyDescent="0.25">
      <c r="L465"/>
    </row>
    <row r="466" spans="12:12" x14ac:dyDescent="0.25">
      <c r="L466"/>
    </row>
    <row r="467" spans="12:12" x14ac:dyDescent="0.25">
      <c r="L467"/>
    </row>
    <row r="468" spans="12:12" x14ac:dyDescent="0.25">
      <c r="L468"/>
    </row>
    <row r="469" spans="12:12" x14ac:dyDescent="0.25">
      <c r="L469"/>
    </row>
    <row r="470" spans="12:12" x14ac:dyDescent="0.25">
      <c r="L470"/>
    </row>
    <row r="471" spans="12:12" x14ac:dyDescent="0.25">
      <c r="L471"/>
    </row>
    <row r="472" spans="12:12" x14ac:dyDescent="0.25">
      <c r="L472"/>
    </row>
    <row r="473" spans="12:12" x14ac:dyDescent="0.25">
      <c r="L473"/>
    </row>
    <row r="474" spans="12:12" x14ac:dyDescent="0.25">
      <c r="L474"/>
    </row>
    <row r="475" spans="12:12" x14ac:dyDescent="0.25">
      <c r="L475"/>
    </row>
    <row r="476" spans="12:12" x14ac:dyDescent="0.25">
      <c r="L476"/>
    </row>
    <row r="477" spans="12:12" x14ac:dyDescent="0.25">
      <c r="L477"/>
    </row>
    <row r="478" spans="12:12" x14ac:dyDescent="0.25">
      <c r="L478"/>
    </row>
    <row r="479" spans="12:12" x14ac:dyDescent="0.25">
      <c r="L479"/>
    </row>
    <row r="480" spans="12:12" x14ac:dyDescent="0.25">
      <c r="L480"/>
    </row>
    <row r="481" spans="12:12" x14ac:dyDescent="0.25">
      <c r="L481"/>
    </row>
    <row r="482" spans="12:12" x14ac:dyDescent="0.25">
      <c r="L482"/>
    </row>
    <row r="483" spans="12:12" x14ac:dyDescent="0.25">
      <c r="L483"/>
    </row>
    <row r="484" spans="12:12" x14ac:dyDescent="0.25">
      <c r="L484"/>
    </row>
    <row r="485" spans="12:12" x14ac:dyDescent="0.25">
      <c r="L485"/>
    </row>
    <row r="486" spans="12:12" x14ac:dyDescent="0.25">
      <c r="L486"/>
    </row>
    <row r="487" spans="12:12" x14ac:dyDescent="0.25">
      <c r="L487"/>
    </row>
    <row r="488" spans="12:12" x14ac:dyDescent="0.25">
      <c r="L488"/>
    </row>
    <row r="489" spans="12:12" x14ac:dyDescent="0.25">
      <c r="L489"/>
    </row>
    <row r="490" spans="12:12" x14ac:dyDescent="0.25">
      <c r="L490"/>
    </row>
    <row r="491" spans="12:12" x14ac:dyDescent="0.25">
      <c r="L491"/>
    </row>
    <row r="492" spans="12:12" x14ac:dyDescent="0.25">
      <c r="L492"/>
    </row>
    <row r="493" spans="12:12" x14ac:dyDescent="0.25">
      <c r="L493"/>
    </row>
    <row r="494" spans="12:12" x14ac:dyDescent="0.25">
      <c r="L494"/>
    </row>
    <row r="495" spans="12:12" x14ac:dyDescent="0.25">
      <c r="L495"/>
    </row>
    <row r="496" spans="12:12" x14ac:dyDescent="0.25">
      <c r="L496"/>
    </row>
    <row r="497" spans="12:12" x14ac:dyDescent="0.25">
      <c r="L497"/>
    </row>
    <row r="498" spans="12:12" x14ac:dyDescent="0.25">
      <c r="L498"/>
    </row>
    <row r="499" spans="12:12" x14ac:dyDescent="0.25">
      <c r="L499"/>
    </row>
    <row r="500" spans="12:12" x14ac:dyDescent="0.25">
      <c r="L500"/>
    </row>
    <row r="501" spans="12:12" x14ac:dyDescent="0.25">
      <c r="L501"/>
    </row>
    <row r="502" spans="12:12" x14ac:dyDescent="0.25">
      <c r="L502"/>
    </row>
    <row r="503" spans="12:12" x14ac:dyDescent="0.25">
      <c r="L503"/>
    </row>
    <row r="504" spans="12:12" x14ac:dyDescent="0.25">
      <c r="L504"/>
    </row>
    <row r="505" spans="12:12" x14ac:dyDescent="0.25">
      <c r="L505"/>
    </row>
    <row r="506" spans="12:12" x14ac:dyDescent="0.25">
      <c r="L506"/>
    </row>
    <row r="507" spans="12:12" x14ac:dyDescent="0.25">
      <c r="L507"/>
    </row>
    <row r="508" spans="12:12" x14ac:dyDescent="0.25">
      <c r="L508"/>
    </row>
    <row r="509" spans="12:12" x14ac:dyDescent="0.25">
      <c r="L509"/>
    </row>
    <row r="510" spans="12:12" x14ac:dyDescent="0.25">
      <c r="L510"/>
    </row>
    <row r="511" spans="12:12" x14ac:dyDescent="0.25">
      <c r="L511"/>
    </row>
    <row r="512" spans="12:12" x14ac:dyDescent="0.25">
      <c r="L512"/>
    </row>
    <row r="513" spans="12:12" x14ac:dyDescent="0.25">
      <c r="L513"/>
    </row>
    <row r="514" spans="12:12" x14ac:dyDescent="0.25">
      <c r="L514"/>
    </row>
    <row r="515" spans="12:12" x14ac:dyDescent="0.25">
      <c r="L515"/>
    </row>
    <row r="516" spans="12:12" x14ac:dyDescent="0.25">
      <c r="L516"/>
    </row>
    <row r="517" spans="12:12" x14ac:dyDescent="0.25">
      <c r="L517"/>
    </row>
    <row r="518" spans="12:12" x14ac:dyDescent="0.25">
      <c r="L518"/>
    </row>
    <row r="519" spans="12:12" x14ac:dyDescent="0.25">
      <c r="L519"/>
    </row>
    <row r="520" spans="12:12" x14ac:dyDescent="0.25">
      <c r="L520"/>
    </row>
    <row r="521" spans="12:12" x14ac:dyDescent="0.25">
      <c r="L521"/>
    </row>
    <row r="522" spans="12:12" x14ac:dyDescent="0.25">
      <c r="L522"/>
    </row>
    <row r="523" spans="12:12" x14ac:dyDescent="0.25">
      <c r="L523"/>
    </row>
    <row r="524" spans="12:12" x14ac:dyDescent="0.25">
      <c r="L524"/>
    </row>
    <row r="525" spans="12:12" x14ac:dyDescent="0.25">
      <c r="L525"/>
    </row>
  </sheetData>
  <sheetProtection algorithmName="SHA-512" hashValue="kR12RDqApaK1s1SBNFlJoAvS2RZxqAMAEcCFjPuBo4bVV3SnUvqZicx5hdR5/SXEyfI6v+Ne5OCAXr/Shk5ODA==" saltValue="KiHnQcYQuTmxBHyJP1ZbDg==" spinCount="100000" sheet="1" objects="1" scenarios="1"/>
  <mergeCells count="58">
    <mergeCell ref="A1:H2"/>
    <mergeCell ref="N10:P10"/>
    <mergeCell ref="Q10:R10"/>
    <mergeCell ref="A3:H3"/>
    <mergeCell ref="G4:H4"/>
    <mergeCell ref="G5:H5"/>
    <mergeCell ref="G6:H6"/>
    <mergeCell ref="G7:H7"/>
    <mergeCell ref="E8:F8"/>
    <mergeCell ref="G8:H8"/>
    <mergeCell ref="N8:P8"/>
    <mergeCell ref="Q8:R8"/>
    <mergeCell ref="N9:P9"/>
    <mergeCell ref="A22:H22"/>
    <mergeCell ref="N11:P11"/>
    <mergeCell ref="Q11:R11"/>
    <mergeCell ref="N12:P12"/>
    <mergeCell ref="Q12:R12"/>
    <mergeCell ref="N13:P13"/>
    <mergeCell ref="N14:P14"/>
    <mergeCell ref="Q14:R14"/>
    <mergeCell ref="A17:E17"/>
    <mergeCell ref="F17:H17"/>
    <mergeCell ref="A18:E18"/>
    <mergeCell ref="F18:H18"/>
    <mergeCell ref="Q33:R33"/>
    <mergeCell ref="A23:A24"/>
    <mergeCell ref="B23:B24"/>
    <mergeCell ref="C23:C24"/>
    <mergeCell ref="D23:D24"/>
    <mergeCell ref="E23:E24"/>
    <mergeCell ref="Q29:R29"/>
    <mergeCell ref="F23:F24"/>
    <mergeCell ref="N30:P30"/>
    <mergeCell ref="N31:P31"/>
    <mergeCell ref="Q31:R31"/>
    <mergeCell ref="N34:P34"/>
    <mergeCell ref="G23:H24"/>
    <mergeCell ref="G25:H25"/>
    <mergeCell ref="G26:H26"/>
    <mergeCell ref="G27:H27"/>
    <mergeCell ref="G28:H28"/>
    <mergeCell ref="N29:P29"/>
    <mergeCell ref="N33:P33"/>
    <mergeCell ref="A45:E45"/>
    <mergeCell ref="F45:H45"/>
    <mergeCell ref="N35:P35"/>
    <mergeCell ref="Q35:R35"/>
    <mergeCell ref="N37:P37"/>
    <mergeCell ref="Q37:R37"/>
    <mergeCell ref="N38:P38"/>
    <mergeCell ref="N39:P39"/>
    <mergeCell ref="Q39:R39"/>
    <mergeCell ref="N40:P40"/>
    <mergeCell ref="N41:P41"/>
    <mergeCell ref="Q41:R41"/>
    <mergeCell ref="A44:E44"/>
    <mergeCell ref="F44:H44"/>
  </mergeCells>
  <conditionalFormatting sqref="A12 A40">
    <cfRule type="cellIs" dxfId="11" priority="2" stopIfTrue="1" operator="notEqual">
      <formula>0</formula>
    </cfRule>
  </conditionalFormatting>
  <conditionalFormatting sqref="A34">
    <cfRule type="cellIs" dxfId="10" priority="4" stopIfTrue="1" operator="notEqual">
      <formula>0</formula>
    </cfRule>
  </conditionalFormatting>
  <conditionalFormatting sqref="E5:E7">
    <cfRule type="cellIs" dxfId="9" priority="1" stopIfTrue="1" operator="greaterThan">
      <formula>0.9</formula>
    </cfRule>
  </conditionalFormatting>
  <conditionalFormatting sqref="E25:E28">
    <cfRule type="cellIs" dxfId="8" priority="3" stopIfTrue="1" operator="greaterThan">
      <formula>0.9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837AC-1DAC-4AD8-B4C8-385D213893C0}">
  <sheetPr>
    <tabColor rgb="FFFFFFCC"/>
  </sheetPr>
  <dimension ref="A1:AK94"/>
  <sheetViews>
    <sheetView workbookViewId="0">
      <selection activeCell="B5" sqref="B5"/>
    </sheetView>
  </sheetViews>
  <sheetFormatPr baseColWidth="10" defaultRowHeight="15" x14ac:dyDescent="0.25"/>
  <cols>
    <col min="1" max="1" width="30.140625" customWidth="1"/>
    <col min="2" max="2" width="15" customWidth="1"/>
    <col min="3" max="3" width="14" customWidth="1"/>
    <col min="4" max="4" width="17" customWidth="1"/>
    <col min="5" max="5" width="15.7109375" customWidth="1"/>
    <col min="6" max="6" width="19.7109375" customWidth="1"/>
    <col min="7" max="7" width="10" customWidth="1"/>
    <col min="8" max="8" width="5" customWidth="1"/>
    <col min="9" max="9" width="8.5703125" customWidth="1"/>
    <col min="10" max="10" width="58" hidden="1" customWidth="1"/>
    <col min="11" max="11" width="5.140625" hidden="1" customWidth="1"/>
    <col min="12" max="12" width="8.5703125" style="2" hidden="1" customWidth="1"/>
    <col min="13" max="19" width="11.42578125" hidden="1" customWidth="1"/>
  </cols>
  <sheetData>
    <row r="1" spans="1:37" ht="23.25" customHeight="1" x14ac:dyDescent="0.25">
      <c r="A1" s="504" t="s">
        <v>233</v>
      </c>
      <c r="B1" s="505"/>
      <c r="C1" s="505"/>
      <c r="D1" s="505"/>
      <c r="E1" s="505"/>
      <c r="F1" s="505"/>
      <c r="G1" s="505"/>
      <c r="H1" s="506"/>
      <c r="I1" s="237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</row>
    <row r="2" spans="1:37" ht="16.5" thickBot="1" x14ac:dyDescent="0.3">
      <c r="A2" s="507"/>
      <c r="B2" s="508"/>
      <c r="C2" s="508"/>
      <c r="D2" s="508"/>
      <c r="E2" s="508"/>
      <c r="F2" s="508"/>
      <c r="G2" s="508"/>
      <c r="H2" s="509"/>
      <c r="I2" s="237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</row>
    <row r="3" spans="1:37" ht="16.5" thickBot="1" x14ac:dyDescent="0.3">
      <c r="A3" s="456" t="s">
        <v>5</v>
      </c>
      <c r="B3" s="457"/>
      <c r="C3" s="457"/>
      <c r="D3" s="457"/>
      <c r="E3" s="457"/>
      <c r="F3" s="457"/>
      <c r="G3" s="457"/>
      <c r="H3" s="458"/>
      <c r="I3" s="103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</row>
    <row r="4" spans="1:37" ht="33.75" x14ac:dyDescent="0.25">
      <c r="A4" s="194" t="s">
        <v>215</v>
      </c>
      <c r="B4" s="195" t="s">
        <v>210</v>
      </c>
      <c r="C4" s="195" t="s">
        <v>25</v>
      </c>
      <c r="D4" s="195" t="s">
        <v>32</v>
      </c>
      <c r="E4" s="195" t="s">
        <v>27</v>
      </c>
      <c r="F4" s="195" t="s">
        <v>225</v>
      </c>
      <c r="G4" s="461" t="s">
        <v>29</v>
      </c>
      <c r="H4" s="462"/>
      <c r="I4" s="208"/>
      <c r="J4" t="s">
        <v>34</v>
      </c>
      <c r="L4" s="2">
        <f>G6+G5</f>
        <v>0</v>
      </c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</row>
    <row r="5" spans="1:37" x14ac:dyDescent="0.25">
      <c r="A5" s="209" t="s">
        <v>0</v>
      </c>
      <c r="B5" s="308"/>
      <c r="C5" s="9">
        <f>B5/($B$15+0.00001)</f>
        <v>0</v>
      </c>
      <c r="D5" s="8">
        <f>IF(C5&lt;60%,B5,1.5*(B6+B7))</f>
        <v>0</v>
      </c>
      <c r="E5" s="9" t="e">
        <f>G5/(F$19+0.00001)</f>
        <v>#DIV/0!</v>
      </c>
      <c r="F5" s="8">
        <f>IF(OR($D$6=$B$8,$D$7=$B$8,$D$5=$B$8,C5=100%),0,D5)</f>
        <v>0</v>
      </c>
      <c r="G5" s="400">
        <f>F5</f>
        <v>0</v>
      </c>
      <c r="H5" s="481"/>
      <c r="I5" s="105"/>
      <c r="J5" t="s">
        <v>42</v>
      </c>
      <c r="K5" s="4"/>
      <c r="L5" s="2">
        <f>G7</f>
        <v>0</v>
      </c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</row>
    <row r="6" spans="1:37" x14ac:dyDescent="0.25">
      <c r="A6" s="196" t="s">
        <v>1</v>
      </c>
      <c r="B6" s="309"/>
      <c r="C6" s="11">
        <f>B6/($B$15+0.00001)</f>
        <v>0</v>
      </c>
      <c r="D6" s="7">
        <f>IF(C6&lt;60%,B6,1.5*(B7+B5))</f>
        <v>0</v>
      </c>
      <c r="E6" s="9" t="e">
        <f>G6/(F$19+0.00001)</f>
        <v>#DIV/0!</v>
      </c>
      <c r="F6" s="8">
        <f>IF(OR($D$6=$B$8,$D$7=$B$8,$D$5=$B$8,C6=100%),0,D6)</f>
        <v>0</v>
      </c>
      <c r="G6" s="400">
        <f>F6</f>
        <v>0</v>
      </c>
      <c r="H6" s="481"/>
      <c r="I6" s="105"/>
      <c r="J6" t="s">
        <v>46</v>
      </c>
      <c r="L6" s="12">
        <f>IF(L5&gt;L4,L4,L5)</f>
        <v>0</v>
      </c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</row>
    <row r="7" spans="1:37" ht="15.75" thickBot="1" x14ac:dyDescent="0.3">
      <c r="A7" s="196" t="s">
        <v>124</v>
      </c>
      <c r="B7" s="309"/>
      <c r="C7" s="213">
        <f>B7/($B$15+0.00001)</f>
        <v>0</v>
      </c>
      <c r="D7" s="198">
        <f>IF(C7&lt;60%,B7,1.5*(B6+B5))</f>
        <v>0</v>
      </c>
      <c r="E7" s="201" t="e">
        <f>G7/(F$19+0.00001)</f>
        <v>#DIV/0!</v>
      </c>
      <c r="F7" s="202">
        <f>IF(OR($D$6=$B$8,$D$7=$B$8,$D$5=$B$8,C7=100%),0,D7)</f>
        <v>0</v>
      </c>
      <c r="G7" s="476">
        <f>F7</f>
        <v>0</v>
      </c>
      <c r="H7" s="477"/>
      <c r="I7" s="105"/>
      <c r="J7" s="1" t="s">
        <v>39</v>
      </c>
      <c r="K7" s="5"/>
      <c r="L7" s="2">
        <f>Q10*20/80</f>
        <v>0</v>
      </c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</row>
    <row r="8" spans="1:37" ht="16.5" thickBot="1" x14ac:dyDescent="0.3">
      <c r="A8" s="192" t="s">
        <v>214</v>
      </c>
      <c r="B8" s="216">
        <f>SUM(B5:B7)</f>
        <v>0</v>
      </c>
      <c r="C8" s="244"/>
      <c r="D8" s="245"/>
      <c r="E8" s="530" t="s">
        <v>54</v>
      </c>
      <c r="F8" s="531"/>
      <c r="G8" s="532">
        <f>L6</f>
        <v>0</v>
      </c>
      <c r="H8" s="469"/>
      <c r="I8" s="105"/>
      <c r="J8" s="1" t="s">
        <v>40</v>
      </c>
      <c r="K8" s="5"/>
      <c r="L8" s="2" t="e">
        <f>B11+L15</f>
        <v>#DIV/0!</v>
      </c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</row>
    <row r="9" spans="1:37" x14ac:dyDescent="0.25">
      <c r="A9" s="268"/>
      <c r="B9" s="108"/>
      <c r="C9" s="189"/>
      <c r="D9" s="189"/>
      <c r="E9" s="185"/>
      <c r="F9" s="108"/>
      <c r="G9" s="200"/>
      <c r="H9" s="269"/>
      <c r="I9" s="246"/>
      <c r="J9" s="1" t="s">
        <v>44</v>
      </c>
      <c r="K9" s="5"/>
      <c r="L9" s="2" t="e">
        <f>IF((Q10*100/F19)&gt;80,100-(Q10*100/F19),20)</f>
        <v>#DIV/0!</v>
      </c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</row>
    <row r="10" spans="1:37" ht="15.75" thickBot="1" x14ac:dyDescent="0.3">
      <c r="A10" s="533"/>
      <c r="B10" s="388"/>
      <c r="C10" s="62"/>
      <c r="D10" s="56"/>
      <c r="E10" s="56"/>
      <c r="F10" s="56"/>
      <c r="G10" s="56"/>
      <c r="H10" s="256"/>
      <c r="I10" s="103"/>
      <c r="J10" s="1" t="s">
        <v>50</v>
      </c>
      <c r="K10" s="5"/>
      <c r="L10" s="12" t="e">
        <f>IF(B11=0,L15,IF((L15+B11)&gt;L7,L7,(L15+B11)))</f>
        <v>#DIV/0!</v>
      </c>
      <c r="N10" s="452" t="s">
        <v>195</v>
      </c>
      <c r="O10" s="452"/>
      <c r="P10" s="452"/>
      <c r="Q10" s="453">
        <f>SUM(G5,G6,G7)</f>
        <v>0</v>
      </c>
      <c r="R10" s="453"/>
      <c r="S10" s="47" t="e">
        <f>CONCATENATE("soit ",ROUND(IF(F19=0,0,Q10*100/F19),2)," %")</f>
        <v>#DIV/0!</v>
      </c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</row>
    <row r="11" spans="1:37" x14ac:dyDescent="0.25">
      <c r="A11" s="128" t="s">
        <v>61</v>
      </c>
      <c r="B11" s="310"/>
      <c r="C11" s="103"/>
      <c r="D11" s="56"/>
      <c r="E11" s="56"/>
      <c r="F11" s="56"/>
      <c r="G11" s="56"/>
      <c r="H11" s="256"/>
      <c r="I11" s="103"/>
      <c r="N11" s="455" t="s">
        <v>64</v>
      </c>
      <c r="O11" s="455"/>
      <c r="P11" s="455"/>
      <c r="Q11" s="453">
        <f>IF(B8&lt;Q10,0,B8-Q10)</f>
        <v>0</v>
      </c>
      <c r="R11" s="453"/>
      <c r="S11" s="22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</row>
    <row r="12" spans="1:37" x14ac:dyDescent="0.25">
      <c r="A12" s="129" t="s">
        <v>125</v>
      </c>
      <c r="B12" s="311"/>
      <c r="C12" s="103"/>
      <c r="D12" s="56"/>
      <c r="E12" s="56"/>
      <c r="F12" s="56"/>
      <c r="G12" s="56"/>
      <c r="H12" s="256"/>
      <c r="I12" s="103"/>
      <c r="J12" s="23" t="s">
        <v>66</v>
      </c>
      <c r="K12" s="1"/>
      <c r="L12" s="2" t="e">
        <f>B12*80/Q10</f>
        <v>#DIV/0!</v>
      </c>
      <c r="S12" s="20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7" ht="15.75" thickBot="1" x14ac:dyDescent="0.3">
      <c r="A13" s="123" t="s">
        <v>213</v>
      </c>
      <c r="B13" s="205">
        <f>SUM(B11:B12)</f>
        <v>0</v>
      </c>
      <c r="C13" s="103"/>
      <c r="D13" s="56"/>
      <c r="E13" s="56"/>
      <c r="F13" s="56"/>
      <c r="G13" s="56"/>
      <c r="H13" s="256"/>
      <c r="I13" s="103"/>
      <c r="J13" t="s">
        <v>69</v>
      </c>
      <c r="L13" s="2">
        <f>L7/2</f>
        <v>0</v>
      </c>
      <c r="N13" s="452" t="s">
        <v>70</v>
      </c>
      <c r="O13" s="452"/>
      <c r="P13" s="452"/>
      <c r="Q13" s="453" t="e">
        <f>L10</f>
        <v>#DIV/0!</v>
      </c>
      <c r="R13" s="453"/>
      <c r="S13" s="47" t="e">
        <f>CONCATENATE("soit ",ROUND(IF(F19=0,0,Q13*100/F19),2)," %")</f>
        <v>#DIV/0!</v>
      </c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</row>
    <row r="14" spans="1:37" ht="15.75" thickBot="1" x14ac:dyDescent="0.3">
      <c r="A14" s="263"/>
      <c r="B14" s="120"/>
      <c r="C14" s="56"/>
      <c r="D14" s="56"/>
      <c r="E14" s="56"/>
      <c r="F14" s="56"/>
      <c r="G14" s="56"/>
      <c r="H14" s="256"/>
      <c r="I14" s="103"/>
      <c r="J14" t="s">
        <v>72</v>
      </c>
      <c r="L14" s="2">
        <f>B12</f>
        <v>0</v>
      </c>
      <c r="N14" s="454" t="s">
        <v>74</v>
      </c>
      <c r="O14" s="454"/>
      <c r="P14" s="454"/>
      <c r="Q14" s="52" t="e">
        <f>IF(F19=0,0,Q13*100/F19)</f>
        <v>#DIV/0!</v>
      </c>
      <c r="R14" s="43" t="s">
        <v>56</v>
      </c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</row>
    <row r="15" spans="1:37" ht="17.25" thickBot="1" x14ac:dyDescent="0.3">
      <c r="A15" s="190" t="s">
        <v>207</v>
      </c>
      <c r="B15" s="191">
        <f>B13+B8</f>
        <v>0</v>
      </c>
      <c r="C15" s="106"/>
      <c r="D15" s="56"/>
      <c r="E15" s="56"/>
      <c r="F15" s="56"/>
      <c r="G15" s="56"/>
      <c r="H15" s="256"/>
      <c r="I15" s="103"/>
      <c r="J15" t="s">
        <v>76</v>
      </c>
      <c r="L15" s="12" t="e">
        <f>IF(L12&gt;10,(0.1/0.9)*(Q10+B11),B12)</f>
        <v>#DIV/0!</v>
      </c>
      <c r="N15" s="454" t="s">
        <v>79</v>
      </c>
      <c r="O15" s="454"/>
      <c r="P15" s="454"/>
      <c r="Q15" s="453" t="e">
        <f>L15</f>
        <v>#DIV/0!</v>
      </c>
      <c r="R15" s="453"/>
      <c r="S15" s="47" t="e">
        <f>CONCATENATE("soit ",ROUND(IF(F19=0,0,Q15*100/F19),2)," %")</f>
        <v>#DIV/0!</v>
      </c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</row>
    <row r="16" spans="1:37" ht="16.5" x14ac:dyDescent="0.25">
      <c r="A16" s="271"/>
      <c r="B16" s="189"/>
      <c r="C16" s="61"/>
      <c r="D16" s="56"/>
      <c r="E16" s="56"/>
      <c r="F16" s="56"/>
      <c r="G16" s="56"/>
      <c r="H16" s="256"/>
      <c r="I16" s="103"/>
      <c r="L16" s="12"/>
      <c r="N16" s="454" t="s">
        <v>80</v>
      </c>
      <c r="O16" s="454"/>
      <c r="P16" s="454"/>
      <c r="Q16" s="52" t="e">
        <f>IF(F19=0,0,Q15*100/F19)</f>
        <v>#DIV/0!</v>
      </c>
      <c r="R16" s="43" t="s">
        <v>56</v>
      </c>
      <c r="S16" s="47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</row>
    <row r="17" spans="1:37" ht="16.5" x14ac:dyDescent="0.25">
      <c r="A17" s="272"/>
      <c r="B17" s="61"/>
      <c r="C17" s="61"/>
      <c r="D17" s="56"/>
      <c r="E17" s="56"/>
      <c r="F17" s="56"/>
      <c r="G17" s="56"/>
      <c r="H17" s="256"/>
      <c r="I17" s="103"/>
      <c r="L17" s="12"/>
      <c r="N17" s="455" t="s">
        <v>77</v>
      </c>
      <c r="O17" s="455"/>
      <c r="P17" s="455"/>
      <c r="Q17" s="453" t="e">
        <f>IF(B13&lt;Q13,0,B13-Q13)</f>
        <v>#DIV/0!</v>
      </c>
      <c r="R17" s="453"/>
      <c r="S17" s="47" t="e">
        <f>CONCATENATE("soit ",ROUND(IF(F19=0,0,Q17*100/F19),2)," %")</f>
        <v>#DIV/0!</v>
      </c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</row>
    <row r="18" spans="1:37" ht="17.25" thickBot="1" x14ac:dyDescent="0.3">
      <c r="A18" s="273"/>
      <c r="B18" s="182"/>
      <c r="C18" s="182"/>
      <c r="D18" s="228"/>
      <c r="E18" s="228"/>
      <c r="F18" s="228"/>
      <c r="G18" s="229"/>
      <c r="H18" s="280"/>
      <c r="I18" s="232"/>
      <c r="L18" s="12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</row>
    <row r="19" spans="1:37" ht="15.75" x14ac:dyDescent="0.25">
      <c r="A19" s="444" t="s">
        <v>133</v>
      </c>
      <c r="B19" s="445"/>
      <c r="C19" s="445"/>
      <c r="D19" s="445"/>
      <c r="E19" s="445"/>
      <c r="F19" s="446" t="e">
        <f>Q10+Q13</f>
        <v>#DIV/0!</v>
      </c>
      <c r="G19" s="446"/>
      <c r="H19" s="447"/>
      <c r="I19" s="103"/>
      <c r="L19" s="12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</row>
    <row r="20" spans="1:37" ht="16.5" thickBot="1" x14ac:dyDescent="0.3">
      <c r="A20" s="448" t="s">
        <v>140</v>
      </c>
      <c r="B20" s="449"/>
      <c r="C20" s="449"/>
      <c r="D20" s="449"/>
      <c r="E20" s="449"/>
      <c r="F20" s="450" t="e">
        <f>Q11+Q17</f>
        <v>#DIV/0!</v>
      </c>
      <c r="G20" s="450"/>
      <c r="H20" s="451"/>
      <c r="I20" s="104"/>
      <c r="L20" s="12"/>
      <c r="P20" s="3" t="e">
        <f>(Q10+Q13)*100/F19</f>
        <v>#DIV/0!</v>
      </c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</row>
    <row r="21" spans="1:37" ht="16.5" x14ac:dyDescent="0.25">
      <c r="A21" s="271"/>
      <c r="B21" s="189"/>
      <c r="C21" s="189"/>
      <c r="D21" s="230"/>
      <c r="E21" s="230"/>
      <c r="F21" s="230"/>
      <c r="G21" s="231"/>
      <c r="H21" s="267"/>
      <c r="I21" s="232"/>
      <c r="L21" s="12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</row>
    <row r="22" spans="1:37" ht="15" customHeight="1" x14ac:dyDescent="0.25">
      <c r="A22" s="255"/>
      <c r="B22" s="56"/>
      <c r="C22" s="56"/>
      <c r="D22" s="56"/>
      <c r="E22" s="56"/>
      <c r="F22" s="56"/>
      <c r="G22" s="56"/>
      <c r="H22" s="256"/>
      <c r="I22" s="103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</row>
    <row r="23" spans="1:37" ht="15" customHeight="1" thickBot="1" x14ac:dyDescent="0.3">
      <c r="A23" s="257"/>
      <c r="B23" s="107"/>
      <c r="C23" s="107"/>
      <c r="D23" s="107"/>
      <c r="E23" s="107"/>
      <c r="F23" s="107"/>
      <c r="G23" s="107"/>
      <c r="H23" s="258"/>
      <c r="I23" s="218"/>
      <c r="J23" s="31"/>
      <c r="K23" s="5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</row>
    <row r="24" spans="1:37" ht="16.5" thickBot="1" x14ac:dyDescent="0.3">
      <c r="A24" s="478" t="s">
        <v>228</v>
      </c>
      <c r="B24" s="479"/>
      <c r="C24" s="479"/>
      <c r="D24" s="479"/>
      <c r="E24" s="479"/>
      <c r="F24" s="479"/>
      <c r="G24" s="479"/>
      <c r="H24" s="480"/>
      <c r="I24" s="218"/>
      <c r="J24" s="1" t="s">
        <v>39</v>
      </c>
      <c r="K24" s="5"/>
      <c r="L24" s="2">
        <f>Q30*20/80</f>
        <v>0</v>
      </c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</row>
    <row r="25" spans="1:37" x14ac:dyDescent="0.25">
      <c r="A25" s="459" t="s">
        <v>208</v>
      </c>
      <c r="B25" s="461" t="s">
        <v>210</v>
      </c>
      <c r="C25" s="461" t="s">
        <v>25</v>
      </c>
      <c r="D25" s="461" t="s">
        <v>32</v>
      </c>
      <c r="E25" s="461" t="s">
        <v>27</v>
      </c>
      <c r="F25" s="461" t="s">
        <v>225</v>
      </c>
      <c r="G25" s="461" t="s">
        <v>29</v>
      </c>
      <c r="H25" s="462"/>
      <c r="I25" s="232"/>
      <c r="J25" s="1" t="s">
        <v>40</v>
      </c>
      <c r="K25" s="5"/>
      <c r="L25" s="2">
        <f>B31+B32+B33+B34</f>
        <v>0</v>
      </c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</row>
    <row r="26" spans="1:37" x14ac:dyDescent="0.25">
      <c r="A26" s="460"/>
      <c r="B26" s="402"/>
      <c r="C26" s="402"/>
      <c r="D26" s="402"/>
      <c r="E26" s="402"/>
      <c r="F26" s="402"/>
      <c r="G26" s="402"/>
      <c r="H26" s="463"/>
      <c r="I26" s="103"/>
      <c r="J26" s="1" t="s">
        <v>44</v>
      </c>
      <c r="K26" s="5"/>
      <c r="L26" s="2" t="e">
        <f>IF((Q30*100/F45)&gt;80,100-(Q30*100/F45),20)</f>
        <v>#DIV/0!</v>
      </c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</row>
    <row r="27" spans="1:37" x14ac:dyDescent="0.25">
      <c r="A27" s="209" t="s">
        <v>0</v>
      </c>
      <c r="B27" s="308"/>
      <c r="C27" s="9">
        <f>B27/(B43+0.00001)</f>
        <v>0</v>
      </c>
      <c r="D27" s="8">
        <f>IF(C27&lt;60%,B27,1.5*B28)</f>
        <v>0</v>
      </c>
      <c r="E27" s="9">
        <f>G27/(F$45+0.00001)</f>
        <v>0</v>
      </c>
      <c r="F27" s="8">
        <f>IF(OR($D$27=$B$29,$D$28=$B$29,$C$27=100%),0,D27)</f>
        <v>0</v>
      </c>
      <c r="G27" s="51">
        <f>F27</f>
        <v>0</v>
      </c>
      <c r="H27" s="210"/>
      <c r="I27" s="103"/>
      <c r="J27" s="1" t="s">
        <v>50</v>
      </c>
      <c r="K27" s="5"/>
      <c r="L27" s="12">
        <f>IF(L25&gt;L24,L24,L25)</f>
        <v>0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</row>
    <row r="28" spans="1:37" ht="15.75" thickBot="1" x14ac:dyDescent="0.3">
      <c r="A28" s="196" t="s">
        <v>49</v>
      </c>
      <c r="B28" s="309"/>
      <c r="C28" s="213">
        <f>B28/(B43+0.00001)</f>
        <v>0</v>
      </c>
      <c r="D28" s="198">
        <f>IF(C28&lt;60%,B28,1.5*B27)</f>
        <v>0</v>
      </c>
      <c r="E28" s="201">
        <f>G28/(F$45+0.00001)</f>
        <v>0</v>
      </c>
      <c r="F28" s="202">
        <f>IF(OR($D$27=$B$29,$D$28=$B$29,C28=100%),0,D28)</f>
        <v>0</v>
      </c>
      <c r="G28" s="217">
        <f>F28</f>
        <v>0</v>
      </c>
      <c r="H28" s="215"/>
      <c r="I28" s="103"/>
      <c r="J28" s="1"/>
      <c r="K28" s="5"/>
      <c r="L28" s="12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</row>
    <row r="29" spans="1:37" ht="16.5" thickBot="1" x14ac:dyDescent="0.3">
      <c r="A29" s="192" t="s">
        <v>204</v>
      </c>
      <c r="B29" s="216">
        <f>SUM(B27:B28)</f>
        <v>0</v>
      </c>
      <c r="C29" s="227"/>
      <c r="D29" s="108"/>
      <c r="E29" s="185"/>
      <c r="F29" s="108"/>
      <c r="G29" s="186"/>
      <c r="H29" s="277"/>
      <c r="I29" s="218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</row>
    <row r="30" spans="1:37" ht="16.5" thickBot="1" x14ac:dyDescent="0.3">
      <c r="A30" s="263"/>
      <c r="B30" s="127"/>
      <c r="C30" s="72"/>
      <c r="D30" s="56"/>
      <c r="E30" s="56"/>
      <c r="F30" s="56"/>
      <c r="G30" s="56"/>
      <c r="H30" s="256"/>
      <c r="I30" s="220"/>
      <c r="J30" s="1" t="s">
        <v>59</v>
      </c>
      <c r="K30" s="5"/>
      <c r="L30" s="2">
        <f>IF(L27=L24,0,IF(L27&lt;L24,L24-L27,""))</f>
        <v>0</v>
      </c>
      <c r="N30" s="363" t="s">
        <v>58</v>
      </c>
      <c r="O30" s="364"/>
      <c r="P30" s="365"/>
      <c r="Q30" s="50">
        <f>SUM(G27,G28,G29)</f>
        <v>0</v>
      </c>
      <c r="R30" s="50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</row>
    <row r="31" spans="1:37" ht="15.75" x14ac:dyDescent="0.25">
      <c r="A31" s="128" t="s">
        <v>61</v>
      </c>
      <c r="B31" s="310"/>
      <c r="C31" s="233"/>
      <c r="D31" s="56"/>
      <c r="E31" s="56"/>
      <c r="F31" s="56"/>
      <c r="G31" s="56"/>
      <c r="H31" s="256"/>
      <c r="I31" s="237"/>
      <c r="J31" s="1" t="s">
        <v>63</v>
      </c>
      <c r="K31" s="5"/>
      <c r="L31" s="2">
        <f>IF(L30&lt;B39+B38+B40+B37,L30,B39+B38+B40+B37)</f>
        <v>0</v>
      </c>
      <c r="N31" s="367" t="s">
        <v>97</v>
      </c>
      <c r="O31" s="368"/>
      <c r="P31" s="369"/>
      <c r="Q31" s="52">
        <f>IF(F45=0,0,Q30*100/F45)</f>
        <v>0</v>
      </c>
      <c r="R31" s="43" t="s">
        <v>56</v>
      </c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</row>
    <row r="32" spans="1:37" ht="15.75" x14ac:dyDescent="0.25">
      <c r="A32" s="129" t="s">
        <v>52</v>
      </c>
      <c r="B32" s="311"/>
      <c r="C32" s="233"/>
      <c r="D32" s="56"/>
      <c r="E32" s="56"/>
      <c r="F32" s="56"/>
      <c r="G32" s="56"/>
      <c r="H32" s="256"/>
      <c r="I32" s="237"/>
      <c r="J32" s="23" t="s">
        <v>68</v>
      </c>
      <c r="K32" s="5"/>
      <c r="L32" s="24">
        <f>IF(L31=0,0,L31*100/L36)</f>
        <v>0</v>
      </c>
      <c r="N32" s="374" t="s">
        <v>64</v>
      </c>
      <c r="O32" s="375"/>
      <c r="P32" s="376"/>
      <c r="Q32" s="50">
        <f>IF(B29&lt;Q30,0,B29-Q30)</f>
        <v>0</v>
      </c>
      <c r="R32" s="50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</row>
    <row r="33" spans="1:37" x14ac:dyDescent="0.25">
      <c r="A33" s="131" t="s">
        <v>124</v>
      </c>
      <c r="B33" s="311"/>
      <c r="C33" s="233"/>
      <c r="D33" s="56"/>
      <c r="E33" s="56"/>
      <c r="F33" s="56"/>
      <c r="G33" s="56"/>
      <c r="H33" s="256"/>
      <c r="I33" s="103"/>
      <c r="J33" s="23" t="s">
        <v>71</v>
      </c>
      <c r="K33" s="5"/>
      <c r="L33" s="12">
        <f>IF(L31=0,0,IF(L32&gt;20,0.25*L36-0.25*L31,L31))</f>
        <v>0</v>
      </c>
      <c r="N33" s="48"/>
      <c r="O33" s="48"/>
      <c r="P33" s="48"/>
      <c r="Q33" s="20"/>
      <c r="R33" s="20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</row>
    <row r="34" spans="1:37" x14ac:dyDescent="0.25">
      <c r="A34" s="131" t="s">
        <v>1</v>
      </c>
      <c r="B34" s="311"/>
      <c r="C34" s="233"/>
      <c r="D34" s="56"/>
      <c r="E34" s="56"/>
      <c r="F34" s="56"/>
      <c r="G34" s="56"/>
      <c r="H34" s="256"/>
      <c r="I34" s="103"/>
      <c r="J34" s="23"/>
      <c r="K34" s="5"/>
      <c r="N34" s="363" t="s">
        <v>70</v>
      </c>
      <c r="O34" s="364"/>
      <c r="P34" s="365"/>
      <c r="Q34" s="50">
        <f>L27</f>
        <v>0</v>
      </c>
      <c r="R34" s="50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</row>
    <row r="35" spans="1:37" ht="15.75" thickBot="1" x14ac:dyDescent="0.3">
      <c r="A35" s="123" t="s">
        <v>213</v>
      </c>
      <c r="B35" s="205">
        <f>SUM(B31:B34)</f>
        <v>0</v>
      </c>
      <c r="C35" s="233"/>
      <c r="D35" s="56"/>
      <c r="E35" s="56"/>
      <c r="F35" s="56"/>
      <c r="G35" s="56"/>
      <c r="H35" s="256"/>
      <c r="I35" s="208"/>
      <c r="J35" s="23"/>
      <c r="K35" s="5"/>
      <c r="N35" s="367" t="s">
        <v>74</v>
      </c>
      <c r="O35" s="368"/>
      <c r="P35" s="369"/>
      <c r="Q35" s="52">
        <f>IF(F45=0,0,Q34*100/F45)</f>
        <v>0</v>
      </c>
      <c r="R35" s="43" t="s">
        <v>56</v>
      </c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</row>
    <row r="36" spans="1:37" ht="15.75" thickBot="1" x14ac:dyDescent="0.3">
      <c r="A36" s="263"/>
      <c r="B36" s="127"/>
      <c r="C36" s="72"/>
      <c r="D36" s="56"/>
      <c r="E36" s="56"/>
      <c r="F36" s="56"/>
      <c r="G36" s="56"/>
      <c r="H36" s="256"/>
      <c r="I36" s="103"/>
      <c r="J36" s="23" t="s">
        <v>75</v>
      </c>
      <c r="K36" s="5"/>
      <c r="L36" s="2">
        <f>Q30+Q34+L31</f>
        <v>0</v>
      </c>
      <c r="N36" s="374" t="s">
        <v>77</v>
      </c>
      <c r="O36" s="375"/>
      <c r="P36" s="376"/>
      <c r="Q36" s="50">
        <f>IF(B35&lt;Q34,0,B35-Q34)</f>
        <v>0</v>
      </c>
      <c r="R36" s="50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</row>
    <row r="37" spans="1:37" x14ac:dyDescent="0.25">
      <c r="A37" s="121" t="s">
        <v>126</v>
      </c>
      <c r="B37" s="312"/>
      <c r="C37" s="233"/>
      <c r="D37" s="56"/>
      <c r="E37" s="56"/>
      <c r="F37" s="56"/>
      <c r="G37" s="56"/>
      <c r="H37" s="256"/>
      <c r="I37" s="103"/>
      <c r="J37" s="23" t="s">
        <v>78</v>
      </c>
      <c r="K37" s="1"/>
      <c r="L37" s="2">
        <f>Q30+Q34+L33</f>
        <v>0</v>
      </c>
      <c r="N37" s="48"/>
      <c r="O37" s="48"/>
      <c r="P37" s="48"/>
      <c r="Q37" s="20"/>
      <c r="R37" s="20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</row>
    <row r="38" spans="1:37" x14ac:dyDescent="0.25">
      <c r="A38" s="122" t="s">
        <v>123</v>
      </c>
      <c r="B38" s="313"/>
      <c r="C38" s="233"/>
      <c r="D38" s="56"/>
      <c r="E38" s="56"/>
      <c r="F38" s="56"/>
      <c r="G38" s="56"/>
      <c r="H38" s="256"/>
      <c r="I38" s="105"/>
      <c r="J38" s="1"/>
      <c r="K38" s="1"/>
      <c r="N38" s="363" t="s">
        <v>83</v>
      </c>
      <c r="O38" s="364"/>
      <c r="P38" s="365"/>
      <c r="Q38" s="50">
        <f>IF(OR(L55&gt;L54,L55=L54),L56,L64)</f>
        <v>0</v>
      </c>
      <c r="R38" s="50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</row>
    <row r="39" spans="1:37" x14ac:dyDescent="0.25">
      <c r="A39" s="122" t="s">
        <v>127</v>
      </c>
      <c r="B39" s="313"/>
      <c r="C39" s="233"/>
      <c r="D39" s="56"/>
      <c r="E39" s="56"/>
      <c r="F39" s="56"/>
      <c r="G39" s="56"/>
      <c r="H39" s="256"/>
      <c r="I39" s="105"/>
      <c r="J39" s="1"/>
      <c r="K39" s="1"/>
      <c r="N39" s="367" t="s">
        <v>74</v>
      </c>
      <c r="O39" s="368"/>
      <c r="P39" s="369"/>
      <c r="Q39" s="52">
        <f>IF(F45=0,0,Q38*100/F45)</f>
        <v>0</v>
      </c>
      <c r="R39" s="43" t="s">
        <v>56</v>
      </c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</row>
    <row r="40" spans="1:37" x14ac:dyDescent="0.25">
      <c r="A40" s="122" t="s">
        <v>82</v>
      </c>
      <c r="B40" s="313"/>
      <c r="C40" s="233"/>
      <c r="D40" s="56"/>
      <c r="E40" s="56"/>
      <c r="F40" s="56"/>
      <c r="G40" s="56"/>
      <c r="H40" s="256"/>
      <c r="I40" s="105"/>
      <c r="J40" s="1"/>
      <c r="K40" s="1"/>
      <c r="N40" s="367" t="s">
        <v>87</v>
      </c>
      <c r="O40" s="368"/>
      <c r="P40" s="369"/>
      <c r="Q40" s="50">
        <f>IF(OR(L55&gt;L54,L55=L54),L53,L60)</f>
        <v>0</v>
      </c>
      <c r="R40" s="50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</row>
    <row r="41" spans="1:37" ht="15.75" thickBot="1" x14ac:dyDescent="0.3">
      <c r="A41" s="123" t="s">
        <v>85</v>
      </c>
      <c r="B41" s="205">
        <f>SUM(B37:B40)</f>
        <v>0</v>
      </c>
      <c r="C41" s="233"/>
      <c r="D41" s="56"/>
      <c r="E41" s="56"/>
      <c r="F41" s="56"/>
      <c r="G41" s="56"/>
      <c r="H41" s="256"/>
      <c r="I41" s="105"/>
      <c r="J41" s="1"/>
      <c r="K41" s="1"/>
      <c r="N41" s="367" t="s">
        <v>80</v>
      </c>
      <c r="O41" s="368"/>
      <c r="P41" s="369"/>
      <c r="Q41" s="52">
        <f>IF(F45=0,0,Q40*100/F45)</f>
        <v>0</v>
      </c>
      <c r="R41" s="43" t="s">
        <v>56</v>
      </c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</row>
    <row r="42" spans="1:37" ht="15.75" thickBot="1" x14ac:dyDescent="0.3">
      <c r="A42" s="263"/>
      <c r="B42" s="127"/>
      <c r="C42" s="62"/>
      <c r="D42" s="56"/>
      <c r="E42" s="56"/>
      <c r="F42" s="56"/>
      <c r="G42" s="56"/>
      <c r="H42" s="256"/>
      <c r="I42" s="105"/>
      <c r="J42" s="1"/>
      <c r="K42" s="1"/>
      <c r="N42" s="370" t="s">
        <v>90</v>
      </c>
      <c r="O42" s="371"/>
      <c r="P42" s="372"/>
      <c r="Q42" s="50">
        <f>IF(B41&lt;Q38,0,B41-Q38)</f>
        <v>0</v>
      </c>
      <c r="R42" s="50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</row>
    <row r="43" spans="1:37" ht="17.25" thickBot="1" x14ac:dyDescent="0.3">
      <c r="A43" s="190" t="s">
        <v>207</v>
      </c>
      <c r="B43" s="191">
        <f>B41+B35+B29</f>
        <v>0</v>
      </c>
      <c r="C43" s="103"/>
      <c r="D43" s="56"/>
      <c r="E43" s="56"/>
      <c r="F43" s="56"/>
      <c r="G43" s="56"/>
      <c r="H43" s="256"/>
      <c r="I43" s="105"/>
      <c r="J43" s="1"/>
      <c r="K43" s="1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</row>
    <row r="44" spans="1:37" ht="15.75" thickBot="1" x14ac:dyDescent="0.3">
      <c r="A44" s="263"/>
      <c r="B44" s="127"/>
      <c r="C44" s="107"/>
      <c r="D44" s="107"/>
      <c r="E44" s="107"/>
      <c r="F44" s="107"/>
      <c r="G44" s="107"/>
      <c r="H44" s="258"/>
      <c r="I44" s="105"/>
      <c r="J44" s="1"/>
      <c r="K44" s="1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</row>
    <row r="45" spans="1:37" ht="15.75" x14ac:dyDescent="0.25">
      <c r="A45" s="524" t="s">
        <v>138</v>
      </c>
      <c r="B45" s="525"/>
      <c r="C45" s="525"/>
      <c r="D45" s="525"/>
      <c r="E45" s="526"/>
      <c r="F45" s="527">
        <f>Q30+Q34+Q38</f>
        <v>0</v>
      </c>
      <c r="G45" s="528"/>
      <c r="H45" s="529"/>
      <c r="I45" s="105"/>
      <c r="J45" s="1"/>
      <c r="K45" s="1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</row>
    <row r="46" spans="1:37" ht="16.5" thickBot="1" x14ac:dyDescent="0.3">
      <c r="A46" s="448" t="s">
        <v>139</v>
      </c>
      <c r="B46" s="449"/>
      <c r="C46" s="449"/>
      <c r="D46" s="449"/>
      <c r="E46" s="449"/>
      <c r="F46" s="450">
        <f>Q32+Q36+Q42</f>
        <v>0</v>
      </c>
      <c r="G46" s="450"/>
      <c r="H46" s="451"/>
      <c r="I46" s="234"/>
      <c r="J46" s="1"/>
      <c r="K46" s="1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</row>
    <row r="47" spans="1:37" x14ac:dyDescent="0.25">
      <c r="A47" s="268"/>
      <c r="B47" s="108"/>
      <c r="C47" s="108"/>
      <c r="D47" s="108"/>
      <c r="E47" s="108"/>
      <c r="F47" s="108"/>
      <c r="G47" s="108"/>
      <c r="H47" s="260"/>
      <c r="I47" s="105"/>
      <c r="J47" s="1"/>
      <c r="K47" s="1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</row>
    <row r="48" spans="1:37" ht="15" customHeight="1" x14ac:dyDescent="0.25">
      <c r="A48" s="255"/>
      <c r="B48" s="56"/>
      <c r="C48" s="56"/>
      <c r="D48" s="56"/>
      <c r="E48" s="56"/>
      <c r="F48" s="56"/>
      <c r="G48" s="56"/>
      <c r="H48" s="256"/>
      <c r="I48" s="105"/>
      <c r="J48" s="1"/>
      <c r="K48" s="1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</row>
    <row r="49" spans="1:37" ht="15" customHeight="1" thickBot="1" x14ac:dyDescent="0.3">
      <c r="A49" s="257"/>
      <c r="B49" s="107"/>
      <c r="C49" s="107"/>
      <c r="D49" s="107"/>
      <c r="E49" s="107"/>
      <c r="F49" s="107"/>
      <c r="G49" s="107"/>
      <c r="H49" s="258"/>
      <c r="I49" s="105"/>
      <c r="J49" s="1"/>
      <c r="K49" s="1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</row>
    <row r="50" spans="1:37" ht="16.5" thickBot="1" x14ac:dyDescent="0.3">
      <c r="A50" s="516" t="s">
        <v>114</v>
      </c>
      <c r="B50" s="517"/>
      <c r="C50" s="517"/>
      <c r="D50" s="517"/>
      <c r="E50" s="517"/>
      <c r="F50" s="517"/>
      <c r="G50" s="517"/>
      <c r="H50" s="518"/>
      <c r="I50" s="279"/>
      <c r="J50" s="1"/>
      <c r="K50" s="1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</row>
    <row r="51" spans="1:37" x14ac:dyDescent="0.25">
      <c r="A51" s="519" t="s">
        <v>208</v>
      </c>
      <c r="B51" s="521" t="s">
        <v>210</v>
      </c>
      <c r="C51" s="522" t="s">
        <v>25</v>
      </c>
      <c r="D51" s="250"/>
      <c r="E51" s="161"/>
      <c r="F51" s="161"/>
      <c r="G51" s="298"/>
      <c r="H51" s="299"/>
      <c r="I51" s="105"/>
      <c r="J51" s="23" t="s">
        <v>81</v>
      </c>
      <c r="K51" s="1"/>
      <c r="L51" s="2">
        <f>(B38+B39+B40)-(1/0.9)*(B38+B39+B40)+(0.1/0.9)*(Q30+Q34+B38+B39+B40+B37)</f>
        <v>0</v>
      </c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</row>
    <row r="52" spans="1:37" x14ac:dyDescent="0.25">
      <c r="A52" s="520"/>
      <c r="B52" s="387"/>
      <c r="C52" s="523"/>
      <c r="D52" s="208"/>
      <c r="E52" s="59"/>
      <c r="F52" s="59"/>
      <c r="G52" s="184"/>
      <c r="H52" s="281"/>
      <c r="I52" s="246"/>
      <c r="J52" s="23" t="s">
        <v>84</v>
      </c>
      <c r="K52" s="1"/>
      <c r="L52" s="2">
        <f>IF(L51=0,0,IF(B38+B39+B40&gt;L51,L51,B38+B39+B40))</f>
        <v>0</v>
      </c>
      <c r="N52" s="363" t="s">
        <v>58</v>
      </c>
      <c r="O52" s="364"/>
      <c r="P52" s="365"/>
      <c r="Q52" s="50">
        <f>B53</f>
        <v>0</v>
      </c>
      <c r="R52" s="50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</row>
    <row r="53" spans="1:37" ht="15.75" thickBot="1" x14ac:dyDescent="0.3">
      <c r="A53" s="301" t="s">
        <v>126</v>
      </c>
      <c r="B53" s="317"/>
      <c r="C53" s="236">
        <f>B53/($B$61+0.00001)</f>
        <v>0</v>
      </c>
      <c r="D53" s="103"/>
      <c r="E53" s="56"/>
      <c r="F53" s="56"/>
      <c r="G53" s="56"/>
      <c r="H53" s="256"/>
      <c r="I53" s="218"/>
      <c r="J53" s="23" t="s">
        <v>86</v>
      </c>
      <c r="K53" s="1"/>
      <c r="L53" s="2">
        <f>IF(L52&gt;L33,L33,L52)</f>
        <v>0</v>
      </c>
      <c r="N53" s="367" t="s">
        <v>120</v>
      </c>
      <c r="O53" s="368"/>
      <c r="P53" s="369"/>
      <c r="Q53" s="52">
        <f>IF(F63=0,0,Q52*100/F63)</f>
        <v>0</v>
      </c>
      <c r="R53" s="43" t="s">
        <v>56</v>
      </c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</row>
    <row r="54" spans="1:37" ht="16.5" thickBot="1" x14ac:dyDescent="0.3">
      <c r="A54" s="192" t="s">
        <v>204</v>
      </c>
      <c r="B54" s="216">
        <f>B53</f>
        <v>0</v>
      </c>
      <c r="C54" s="235"/>
      <c r="D54" s="56"/>
      <c r="E54" s="56"/>
      <c r="F54" s="56"/>
      <c r="G54" s="56"/>
      <c r="H54" s="256"/>
      <c r="I54" s="232"/>
      <c r="J54" s="23" t="s">
        <v>88</v>
      </c>
      <c r="K54" s="1"/>
      <c r="L54" s="24">
        <f>L33-L53</f>
        <v>0</v>
      </c>
      <c r="O54" s="16"/>
      <c r="Q54" s="10"/>
      <c r="R54" s="10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</row>
    <row r="55" spans="1:37" ht="15.75" thickBot="1" x14ac:dyDescent="0.3">
      <c r="A55" s="263"/>
      <c r="B55" s="120"/>
      <c r="C55" s="72"/>
      <c r="D55" s="56"/>
      <c r="E55" s="56"/>
      <c r="F55" s="56"/>
      <c r="G55" s="56"/>
      <c r="H55" s="256"/>
      <c r="I55" s="218"/>
      <c r="J55" s="23" t="s">
        <v>89</v>
      </c>
      <c r="K55" s="1"/>
      <c r="L55" s="2">
        <f>IF(B37=0,0,IF(B37&gt;L54,L54,B37))</f>
        <v>0</v>
      </c>
      <c r="N55" s="363" t="s">
        <v>117</v>
      </c>
      <c r="O55" s="364"/>
      <c r="P55" s="365"/>
      <c r="Q55" s="50">
        <f>L74</f>
        <v>0</v>
      </c>
      <c r="R55" s="50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</row>
    <row r="56" spans="1:37" x14ac:dyDescent="0.25">
      <c r="A56" s="300" t="s">
        <v>123</v>
      </c>
      <c r="B56" s="312"/>
      <c r="C56" s="227"/>
      <c r="D56" s="56"/>
      <c r="E56" s="56"/>
      <c r="F56" s="56"/>
      <c r="G56" s="56"/>
      <c r="H56" s="256"/>
      <c r="I56" s="218"/>
      <c r="J56" s="23" t="s">
        <v>92</v>
      </c>
      <c r="L56" s="2">
        <f>L55+L53</f>
        <v>0</v>
      </c>
      <c r="N56" s="454" t="s">
        <v>118</v>
      </c>
      <c r="O56" s="454"/>
      <c r="P56" s="454"/>
      <c r="Q56" s="52">
        <f>IF(F63=0,0,Q55*100/F63)</f>
        <v>0</v>
      </c>
      <c r="R56" s="43" t="s">
        <v>56</v>
      </c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</row>
    <row r="57" spans="1:37" x14ac:dyDescent="0.25">
      <c r="A57" s="122" t="s">
        <v>127</v>
      </c>
      <c r="B57" s="313"/>
      <c r="C57" s="203"/>
      <c r="D57" s="56"/>
      <c r="E57" s="56"/>
      <c r="F57" s="56"/>
      <c r="G57" s="56"/>
      <c r="H57" s="256"/>
      <c r="I57" s="218"/>
      <c r="J57" s="23" t="s">
        <v>78</v>
      </c>
      <c r="L57" s="2">
        <f>Q30+Q34+L56</f>
        <v>0</v>
      </c>
      <c r="N57" s="455" t="s">
        <v>122</v>
      </c>
      <c r="O57" s="455"/>
      <c r="P57" s="455"/>
      <c r="Q57" s="453">
        <f>IF(B59&lt;Q55,0,B59-Q55)</f>
        <v>0</v>
      </c>
      <c r="R57" s="453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</row>
    <row r="58" spans="1:37" x14ac:dyDescent="0.25">
      <c r="A58" s="122" t="s">
        <v>82</v>
      </c>
      <c r="B58" s="313"/>
      <c r="C58" s="103"/>
      <c r="D58" s="56"/>
      <c r="E58" s="56"/>
      <c r="F58" s="56"/>
      <c r="G58" s="56"/>
      <c r="H58" s="256"/>
      <c r="I58" s="232"/>
      <c r="J58" s="23"/>
      <c r="N58" s="48"/>
      <c r="O58" s="48"/>
      <c r="P58" s="48"/>
      <c r="Q58" s="20"/>
      <c r="R58" s="20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</row>
    <row r="59" spans="1:37" ht="15.75" thickBot="1" x14ac:dyDescent="0.3">
      <c r="A59" s="123" t="s">
        <v>115</v>
      </c>
      <c r="B59" s="205">
        <f>SUM(B56:B58)</f>
        <v>0</v>
      </c>
      <c r="C59" s="103"/>
      <c r="D59" s="56"/>
      <c r="E59" s="56"/>
      <c r="F59" s="56"/>
      <c r="G59" s="56"/>
      <c r="H59" s="256"/>
      <c r="I59" s="232"/>
      <c r="J59" s="23" t="s">
        <v>95</v>
      </c>
      <c r="L59" s="2">
        <f>0.1*L57</f>
        <v>0</v>
      </c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</row>
    <row r="60" spans="1:37" ht="15.75" thickBot="1" x14ac:dyDescent="0.3">
      <c r="A60" s="263"/>
      <c r="B60" s="120"/>
      <c r="C60" s="56"/>
      <c r="D60" s="56"/>
      <c r="E60" s="56"/>
      <c r="F60" s="56"/>
      <c r="G60" s="56"/>
      <c r="H60" s="256"/>
      <c r="I60" s="232"/>
      <c r="J60" s="23" t="s">
        <v>84</v>
      </c>
      <c r="L60" s="12">
        <f>IF(L59=0,0,IF(B38+B39+B40&gt;L59,L59,B38+B39+B40))</f>
        <v>0</v>
      </c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</row>
    <row r="61" spans="1:37" ht="17.25" thickBot="1" x14ac:dyDescent="0.3">
      <c r="A61" s="190" t="s">
        <v>207</v>
      </c>
      <c r="B61" s="191">
        <f>B86+B59+B54</f>
        <v>0</v>
      </c>
      <c r="C61" s="103"/>
      <c r="D61" s="56"/>
      <c r="E61" s="56"/>
      <c r="F61" s="56"/>
      <c r="G61" s="56"/>
      <c r="H61" s="256"/>
      <c r="I61" s="218"/>
      <c r="J61" s="23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</row>
    <row r="62" spans="1:37" ht="15.75" thickBot="1" x14ac:dyDescent="0.3">
      <c r="A62" s="263"/>
      <c r="B62" s="120"/>
      <c r="C62" s="182"/>
      <c r="D62" s="107"/>
      <c r="E62" s="107"/>
      <c r="F62" s="107"/>
      <c r="G62" s="107"/>
      <c r="H62" s="258"/>
      <c r="I62" s="218"/>
      <c r="J62" s="23" t="s">
        <v>88</v>
      </c>
      <c r="L62" s="2">
        <f>L33-L60</f>
        <v>0</v>
      </c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</row>
    <row r="63" spans="1:37" ht="15.75" x14ac:dyDescent="0.25">
      <c r="A63" s="424" t="s">
        <v>141</v>
      </c>
      <c r="B63" s="425"/>
      <c r="C63" s="425"/>
      <c r="D63" s="425"/>
      <c r="E63" s="425"/>
      <c r="F63" s="514">
        <f>Q52+Q55</f>
        <v>0</v>
      </c>
      <c r="G63" s="514"/>
      <c r="H63" s="515"/>
      <c r="I63" s="218"/>
      <c r="J63" s="23" t="s">
        <v>89</v>
      </c>
      <c r="L63" s="2">
        <f>IF(B37=0,0,IF(B37&gt;L62,L62,B37))</f>
        <v>0</v>
      </c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</row>
    <row r="64" spans="1:37" ht="16.5" thickBot="1" x14ac:dyDescent="0.3">
      <c r="A64" s="448" t="s">
        <v>142</v>
      </c>
      <c r="B64" s="449"/>
      <c r="C64" s="449"/>
      <c r="D64" s="449"/>
      <c r="E64" s="449"/>
      <c r="F64" s="450">
        <f>Q57</f>
        <v>0</v>
      </c>
      <c r="G64" s="450"/>
      <c r="H64" s="451"/>
      <c r="I64" s="219"/>
      <c r="J64" s="23" t="s">
        <v>92</v>
      </c>
      <c r="L64" s="12">
        <f>L63+L60</f>
        <v>0</v>
      </c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</row>
    <row r="65" spans="1:37" x14ac:dyDescent="0.25">
      <c r="A65" s="108"/>
      <c r="B65" s="108"/>
      <c r="C65" s="108"/>
      <c r="D65" s="108"/>
      <c r="E65" s="108"/>
      <c r="F65" s="108"/>
      <c r="G65" s="108"/>
      <c r="H65" s="108"/>
      <c r="I65" s="73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</row>
    <row r="66" spans="1:37" x14ac:dyDescent="0.25">
      <c r="A66" s="56"/>
      <c r="B66" s="56"/>
      <c r="C66" s="56"/>
      <c r="D66" s="56"/>
      <c r="E66" s="56"/>
      <c r="F66" s="56"/>
      <c r="G66" s="56"/>
      <c r="H66" s="56"/>
      <c r="I66" s="77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</row>
    <row r="67" spans="1:37" x14ac:dyDescent="0.25">
      <c r="A67" s="56"/>
      <c r="B67" s="56"/>
      <c r="C67" s="56"/>
      <c r="D67" s="56"/>
      <c r="E67" s="56"/>
      <c r="F67" s="56"/>
      <c r="G67" s="56"/>
      <c r="H67" s="56"/>
      <c r="I67" s="73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</row>
    <row r="68" spans="1:37" ht="15.75" x14ac:dyDescent="0.25">
      <c r="A68" s="56"/>
      <c r="B68" s="56"/>
      <c r="C68" s="56"/>
      <c r="D68" s="56"/>
      <c r="E68" s="56"/>
      <c r="F68" s="56"/>
      <c r="G68" s="56"/>
      <c r="H68" s="56"/>
      <c r="I68" s="100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</row>
    <row r="69" spans="1:37" ht="15.75" x14ac:dyDescent="0.25">
      <c r="A69" s="56"/>
      <c r="B69" s="56"/>
      <c r="C69" s="56"/>
      <c r="D69" s="56"/>
      <c r="E69" s="56"/>
      <c r="F69" s="56"/>
      <c r="G69" s="56"/>
      <c r="H69" s="56"/>
      <c r="I69" s="100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</row>
    <row r="70" spans="1:37" ht="15.75" x14ac:dyDescent="0.25">
      <c r="A70" s="56"/>
      <c r="B70" s="56"/>
      <c r="C70" s="56"/>
      <c r="D70" s="56"/>
      <c r="E70" s="56"/>
      <c r="F70" s="56"/>
      <c r="G70" s="56"/>
      <c r="H70" s="56"/>
      <c r="I70" s="100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</row>
    <row r="71" spans="1:37" ht="15.75" x14ac:dyDescent="0.25">
      <c r="A71" s="56"/>
      <c r="B71" s="56"/>
      <c r="C71" s="56"/>
      <c r="D71" s="56"/>
      <c r="E71" s="56"/>
      <c r="F71" s="56"/>
      <c r="G71" s="56"/>
      <c r="H71" s="56"/>
      <c r="I71" s="100"/>
      <c r="J71" s="1" t="s">
        <v>116</v>
      </c>
      <c r="K71" s="5"/>
      <c r="L71" s="2">
        <f>Q52</f>
        <v>0</v>
      </c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</row>
    <row r="72" spans="1:37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1" t="s">
        <v>119</v>
      </c>
      <c r="K72" s="5"/>
      <c r="L72" s="2">
        <f>B59</f>
        <v>0</v>
      </c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</row>
    <row r="73" spans="1:37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1" t="s">
        <v>44</v>
      </c>
      <c r="K73" s="5"/>
      <c r="L73" s="2" t="e">
        <f>IF((Q52*100/F63)&gt;50,100-(Q52*100/F63),50)</f>
        <v>#DIV/0!</v>
      </c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</row>
    <row r="74" spans="1:37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1" t="s">
        <v>121</v>
      </c>
      <c r="K74" s="5"/>
      <c r="L74" s="12">
        <f>IF(L72&gt;L71,L71,L72)</f>
        <v>0</v>
      </c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</row>
    <row r="75" spans="1:37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23"/>
      <c r="K75" s="5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</row>
    <row r="76" spans="1:37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23"/>
      <c r="K76" s="5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</row>
    <row r="77" spans="1:37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23"/>
      <c r="K77" s="5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</row>
    <row r="78" spans="1:37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23"/>
      <c r="K78" s="5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</row>
    <row r="79" spans="1:37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23"/>
      <c r="K79" s="1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</row>
    <row r="80" spans="1:37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1"/>
      <c r="K80" s="1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</row>
    <row r="81" spans="1:37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23"/>
      <c r="K81" s="1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</row>
    <row r="82" spans="1:37" x14ac:dyDescent="0.25">
      <c r="J82" s="23"/>
      <c r="K82" s="1"/>
    </row>
    <row r="83" spans="1:37" x14ac:dyDescent="0.25">
      <c r="J83" s="23"/>
      <c r="K83" s="1"/>
    </row>
    <row r="84" spans="1:37" x14ac:dyDescent="0.25">
      <c r="J84" s="23"/>
      <c r="K84" s="1"/>
      <c r="L84" s="24"/>
    </row>
    <row r="85" spans="1:37" x14ac:dyDescent="0.25">
      <c r="A85" s="36"/>
      <c r="D85" s="399"/>
      <c r="E85" s="399"/>
      <c r="F85" s="399"/>
      <c r="G85" s="398"/>
      <c r="H85" s="398"/>
      <c r="J85" s="23"/>
      <c r="K85" s="1"/>
    </row>
    <row r="86" spans="1:37" x14ac:dyDescent="0.25">
      <c r="A86" s="34"/>
      <c r="B86" s="18"/>
      <c r="D86" s="399"/>
      <c r="E86" s="399"/>
      <c r="F86" s="399"/>
      <c r="G86" s="35"/>
      <c r="H86" s="22"/>
      <c r="J86" s="23"/>
    </row>
    <row r="87" spans="1:37" x14ac:dyDescent="0.25">
      <c r="D87" s="397"/>
      <c r="E87" s="397"/>
      <c r="F87" s="397"/>
      <c r="G87" s="398"/>
      <c r="H87" s="398"/>
      <c r="J87" s="23"/>
    </row>
    <row r="88" spans="1:37" x14ac:dyDescent="0.25">
      <c r="J88" s="23"/>
    </row>
    <row r="89" spans="1:37" x14ac:dyDescent="0.25">
      <c r="J89" s="23"/>
    </row>
    <row r="90" spans="1:37" x14ac:dyDescent="0.25">
      <c r="J90" s="23"/>
    </row>
    <row r="91" spans="1:37" x14ac:dyDescent="0.25">
      <c r="J91" s="23"/>
    </row>
    <row r="92" spans="1:37" x14ac:dyDescent="0.25">
      <c r="J92" s="23"/>
    </row>
    <row r="93" spans="1:37" x14ac:dyDescent="0.25">
      <c r="J93" s="23"/>
    </row>
    <row r="94" spans="1:37" x14ac:dyDescent="0.25">
      <c r="J94" s="23"/>
    </row>
  </sheetData>
  <sheetProtection algorithmName="SHA-512" hashValue="7TYY4AnCmcZZWC1A/0UUIQFlCzLVaAZNO2vqbolQznBqeToYERF/2iQ7GA82UQa5qSZeyQPuNSBbutzKMbw+0A==" saltValue="cOL/yZk6Ftzc61kJym5VXA==" spinCount="100000" sheet="1" objects="1" scenarios="1"/>
  <mergeCells count="67">
    <mergeCell ref="A1:H2"/>
    <mergeCell ref="Q15:R15"/>
    <mergeCell ref="G7:H7"/>
    <mergeCell ref="A3:H3"/>
    <mergeCell ref="G4:H4"/>
    <mergeCell ref="G5:H5"/>
    <mergeCell ref="G6:H6"/>
    <mergeCell ref="Q10:R10"/>
    <mergeCell ref="N11:P11"/>
    <mergeCell ref="Q11:R11"/>
    <mergeCell ref="N13:P13"/>
    <mergeCell ref="Q13:R13"/>
    <mergeCell ref="N16:P16"/>
    <mergeCell ref="E8:F8"/>
    <mergeCell ref="G8:H8"/>
    <mergeCell ref="A10:B10"/>
    <mergeCell ref="N10:P10"/>
    <mergeCell ref="N14:P14"/>
    <mergeCell ref="N15:P15"/>
    <mergeCell ref="N17:P17"/>
    <mergeCell ref="Q17:R17"/>
    <mergeCell ref="A19:E19"/>
    <mergeCell ref="F19:H19"/>
    <mergeCell ref="A20:E20"/>
    <mergeCell ref="F20:H20"/>
    <mergeCell ref="A24:H24"/>
    <mergeCell ref="A25:A26"/>
    <mergeCell ref="B25:B26"/>
    <mergeCell ref="C25:C26"/>
    <mergeCell ref="D25:D26"/>
    <mergeCell ref="E25:E26"/>
    <mergeCell ref="F25:F26"/>
    <mergeCell ref="G25:H26"/>
    <mergeCell ref="A45:E45"/>
    <mergeCell ref="F45:H45"/>
    <mergeCell ref="N30:P30"/>
    <mergeCell ref="N31:P31"/>
    <mergeCell ref="N32:P32"/>
    <mergeCell ref="N34:P34"/>
    <mergeCell ref="N35:P35"/>
    <mergeCell ref="N36:P36"/>
    <mergeCell ref="N38:P38"/>
    <mergeCell ref="N39:P39"/>
    <mergeCell ref="N40:P40"/>
    <mergeCell ref="N41:P41"/>
    <mergeCell ref="N42:P42"/>
    <mergeCell ref="Q57:R57"/>
    <mergeCell ref="A46:E46"/>
    <mergeCell ref="F46:H46"/>
    <mergeCell ref="A50:H50"/>
    <mergeCell ref="A51:A52"/>
    <mergeCell ref="B51:B52"/>
    <mergeCell ref="C51:C52"/>
    <mergeCell ref="N52:P52"/>
    <mergeCell ref="N53:P53"/>
    <mergeCell ref="N55:P55"/>
    <mergeCell ref="N56:P56"/>
    <mergeCell ref="N57:P57"/>
    <mergeCell ref="D86:F86"/>
    <mergeCell ref="D87:F87"/>
    <mergeCell ref="G87:H87"/>
    <mergeCell ref="A63:E63"/>
    <mergeCell ref="F63:H63"/>
    <mergeCell ref="A64:E64"/>
    <mergeCell ref="F64:H64"/>
    <mergeCell ref="D85:F85"/>
    <mergeCell ref="G85:H85"/>
  </mergeCells>
  <conditionalFormatting sqref="A13 A41">
    <cfRule type="cellIs" dxfId="7" priority="5" stopIfTrue="1" operator="notEqual">
      <formula>0</formula>
    </cfRule>
  </conditionalFormatting>
  <conditionalFormatting sqref="A35">
    <cfRule type="cellIs" dxfId="6" priority="6" stopIfTrue="1" operator="notEqual">
      <formula>0</formula>
    </cfRule>
  </conditionalFormatting>
  <conditionalFormatting sqref="A59">
    <cfRule type="cellIs" dxfId="5" priority="3" stopIfTrue="1" operator="notEqual">
      <formula>0</formula>
    </cfRule>
  </conditionalFormatting>
  <conditionalFormatting sqref="A86">
    <cfRule type="cellIs" dxfId="4" priority="2" stopIfTrue="1" operator="notEqual">
      <formula>0</formula>
    </cfRule>
  </conditionalFormatting>
  <conditionalFormatting sqref="E5:E7 E27:E29">
    <cfRule type="cellIs" dxfId="3" priority="4" stopIfTrue="1" operator="greaterThan">
      <formula>0.9</formula>
    </cfRule>
  </conditionalFormatting>
  <conditionalFormatting sqref="O54">
    <cfRule type="cellIs" dxfId="2" priority="1" stopIfTrue="1" operator="greaterThan">
      <formula>0.9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A32E6-5AEA-4596-81C5-D02AD9EAEDF4}">
  <sheetPr>
    <tabColor theme="6" tint="0.59999389629810485"/>
  </sheetPr>
  <dimension ref="A1:AS82"/>
  <sheetViews>
    <sheetView workbookViewId="0">
      <selection activeCell="B5" sqref="B5"/>
    </sheetView>
  </sheetViews>
  <sheetFormatPr baseColWidth="10" defaultRowHeight="15" x14ac:dyDescent="0.25"/>
  <cols>
    <col min="1" max="1" width="30.140625" customWidth="1"/>
    <col min="2" max="2" width="15" customWidth="1"/>
    <col min="3" max="3" width="14" customWidth="1"/>
    <col min="4" max="4" width="17" customWidth="1"/>
    <col min="5" max="5" width="15.7109375" customWidth="1"/>
    <col min="6" max="6" width="18.140625" customWidth="1"/>
    <col min="7" max="7" width="10" customWidth="1"/>
    <col min="8" max="8" width="5" customWidth="1"/>
    <col min="9" max="9" width="4.5703125" customWidth="1"/>
    <col min="10" max="10" width="58" hidden="1" customWidth="1"/>
    <col min="11" max="11" width="5.140625" hidden="1" customWidth="1"/>
    <col min="12" max="12" width="7.7109375" style="2" hidden="1" customWidth="1"/>
    <col min="13" max="19" width="0" hidden="1" customWidth="1"/>
  </cols>
  <sheetData>
    <row r="1" spans="1:45" ht="23.25" customHeight="1" x14ac:dyDescent="0.25">
      <c r="A1" s="504" t="s">
        <v>234</v>
      </c>
      <c r="B1" s="505"/>
      <c r="C1" s="505"/>
      <c r="D1" s="505"/>
      <c r="E1" s="505"/>
      <c r="F1" s="505"/>
      <c r="G1" s="505"/>
      <c r="H1" s="506"/>
      <c r="I1" s="237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</row>
    <row r="2" spans="1:45" ht="15.75" customHeight="1" thickBot="1" x14ac:dyDescent="0.3">
      <c r="A2" s="507"/>
      <c r="B2" s="508"/>
      <c r="C2" s="508"/>
      <c r="D2" s="508"/>
      <c r="E2" s="508"/>
      <c r="F2" s="508"/>
      <c r="G2" s="508"/>
      <c r="H2" s="509"/>
      <c r="I2" s="237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pans="1:45" ht="16.5" thickBot="1" x14ac:dyDescent="0.3">
      <c r="A3" s="536" t="s">
        <v>229</v>
      </c>
      <c r="B3" s="537"/>
      <c r="C3" s="537"/>
      <c r="D3" s="537"/>
      <c r="E3" s="537"/>
      <c r="F3" s="537"/>
      <c r="G3" s="537"/>
      <c r="H3" s="538"/>
      <c r="I3" s="103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</row>
    <row r="4" spans="1:45" ht="33.75" x14ac:dyDescent="0.25">
      <c r="A4" s="194" t="s">
        <v>208</v>
      </c>
      <c r="B4" s="195" t="s">
        <v>210</v>
      </c>
      <c r="C4" s="195" t="s">
        <v>25</v>
      </c>
      <c r="D4" s="195" t="s">
        <v>36</v>
      </c>
      <c r="E4" s="195" t="s">
        <v>27</v>
      </c>
      <c r="F4" s="195" t="s">
        <v>225</v>
      </c>
      <c r="G4" s="461" t="s">
        <v>29</v>
      </c>
      <c r="H4" s="462"/>
      <c r="I4" s="208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</row>
    <row r="5" spans="1:45" x14ac:dyDescent="0.25">
      <c r="A5" s="196" t="s">
        <v>0</v>
      </c>
      <c r="B5" s="309"/>
      <c r="C5" s="13">
        <f>B5/($B$21+0.00001)</f>
        <v>0</v>
      </c>
      <c r="D5" s="7">
        <f>IF(C5&lt;80%,B5,4*(B6+B7))</f>
        <v>0</v>
      </c>
      <c r="E5" s="13">
        <f>G5/(F$24+0.00001)</f>
        <v>0</v>
      </c>
      <c r="F5" s="7">
        <f>IF(OR($D$7=$B$8,$D$6=$B$8,$D$5=$B$8,C5=100%),0,D5)</f>
        <v>0</v>
      </c>
      <c r="G5" s="482">
        <f>F5</f>
        <v>0</v>
      </c>
      <c r="H5" s="483"/>
      <c r="I5" s="105"/>
      <c r="K5" s="4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</row>
    <row r="6" spans="1:45" x14ac:dyDescent="0.25">
      <c r="A6" s="226" t="s">
        <v>1</v>
      </c>
      <c r="B6" s="314"/>
      <c r="C6" s="13">
        <f>B6/($B$21+0.00001)</f>
        <v>0</v>
      </c>
      <c r="D6" s="7">
        <f>IF(C6&lt;80%,B6,4*(B7+B5))</f>
        <v>0</v>
      </c>
      <c r="E6" s="13">
        <f>G6/(F$24+0.00001)</f>
        <v>0</v>
      </c>
      <c r="F6" s="7">
        <f>IF(OR($D$6=$B$8,$D$7=$B$8,$D$5=$B$8,C6=100%),0,D6)</f>
        <v>0</v>
      </c>
      <c r="G6" s="482">
        <f>F6</f>
        <v>0</v>
      </c>
      <c r="H6" s="483"/>
      <c r="I6" s="105"/>
      <c r="L6" s="38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</row>
    <row r="7" spans="1:45" ht="15.75" thickBot="1" x14ac:dyDescent="0.3">
      <c r="A7" s="196" t="s">
        <v>49</v>
      </c>
      <c r="B7" s="309"/>
      <c r="C7" s="225">
        <f>B7/($B$21+0.00001)</f>
        <v>0</v>
      </c>
      <c r="D7" s="198">
        <f>IF(C7&lt;80%,B7,4*(B6+B5))</f>
        <v>0</v>
      </c>
      <c r="E7" s="197">
        <f>G7/(F$24+0.00001)</f>
        <v>0</v>
      </c>
      <c r="F7" s="198">
        <f>IF(OR($D$6=$B$8,$D$7=$B$8,$D$5=$B$8,C7=100%),0,D7)</f>
        <v>0</v>
      </c>
      <c r="G7" s="496">
        <f>F7</f>
        <v>0</v>
      </c>
      <c r="H7" s="497"/>
      <c r="I7" s="105"/>
      <c r="J7" s="1" t="s">
        <v>39</v>
      </c>
      <c r="K7" s="5"/>
      <c r="L7" s="2">
        <f>Q10*20/80</f>
        <v>0</v>
      </c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</row>
    <row r="8" spans="1:45" ht="16.5" thickBot="1" x14ac:dyDescent="0.3">
      <c r="A8" s="192" t="s">
        <v>204</v>
      </c>
      <c r="B8" s="216">
        <f>SUM(B5:B7)</f>
        <v>0</v>
      </c>
      <c r="C8" s="227"/>
      <c r="D8" s="108"/>
      <c r="E8" s="185"/>
      <c r="F8" s="189"/>
      <c r="G8" s="468"/>
      <c r="H8" s="469"/>
      <c r="I8" s="105"/>
      <c r="J8" s="1" t="s">
        <v>40</v>
      </c>
      <c r="K8" s="5"/>
      <c r="L8" s="2">
        <f>B13</f>
        <v>0</v>
      </c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</row>
    <row r="9" spans="1:45" ht="15.75" thickBot="1" x14ac:dyDescent="0.3">
      <c r="A9" s="263"/>
      <c r="B9" s="120"/>
      <c r="C9" s="61"/>
      <c r="D9" s="61"/>
      <c r="E9" s="72"/>
      <c r="F9" s="56"/>
      <c r="G9" s="82"/>
      <c r="H9" s="278"/>
      <c r="I9" s="246"/>
      <c r="J9" s="1" t="s">
        <v>44</v>
      </c>
      <c r="K9" s="5"/>
      <c r="L9" s="2" t="e">
        <f>IF((Q10*100/F24)&gt;80,100-(Q10*100/F24),20)</f>
        <v>#DIV/0!</v>
      </c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</row>
    <row r="10" spans="1:45" x14ac:dyDescent="0.25">
      <c r="A10" s="238" t="s">
        <v>61</v>
      </c>
      <c r="B10" s="315"/>
      <c r="C10" s="203"/>
      <c r="D10" s="56"/>
      <c r="E10" s="56"/>
      <c r="F10" s="56"/>
      <c r="G10" s="56"/>
      <c r="H10" s="256"/>
      <c r="I10" s="218"/>
      <c r="J10" s="1" t="s">
        <v>50</v>
      </c>
      <c r="K10" s="5"/>
      <c r="L10" s="12">
        <f>IF(B13&gt;L7,L7,B13)</f>
        <v>0</v>
      </c>
      <c r="N10" s="452" t="s">
        <v>58</v>
      </c>
      <c r="O10" s="452"/>
      <c r="P10" s="452"/>
      <c r="Q10" s="453">
        <f>SUM(G5,G6,G7)</f>
        <v>0</v>
      </c>
      <c r="R10" s="453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</row>
    <row r="11" spans="1:45" x14ac:dyDescent="0.25">
      <c r="A11" s="240" t="s">
        <v>125</v>
      </c>
      <c r="B11" s="316"/>
      <c r="C11" s="103"/>
      <c r="D11" s="56"/>
      <c r="E11" s="56"/>
      <c r="F11" s="56"/>
      <c r="G11" s="56"/>
      <c r="H11" s="256"/>
      <c r="I11" s="232"/>
      <c r="J11" s="1"/>
      <c r="K11" s="5"/>
      <c r="N11" s="454" t="s">
        <v>62</v>
      </c>
      <c r="O11" s="454"/>
      <c r="P11" s="454"/>
      <c r="Q11" s="21">
        <f>IF(F24=0,0,Q10*100/F24)</f>
        <v>0</v>
      </c>
      <c r="R11" s="55" t="s">
        <v>56</v>
      </c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</row>
    <row r="12" spans="1:45" x14ac:dyDescent="0.25">
      <c r="A12" s="242" t="s">
        <v>124</v>
      </c>
      <c r="B12" s="316"/>
      <c r="C12" s="103"/>
      <c r="D12" s="56"/>
      <c r="E12" s="56"/>
      <c r="F12" s="56"/>
      <c r="G12" s="56"/>
      <c r="H12" s="256"/>
      <c r="I12" s="218"/>
      <c r="J12" s="1" t="s">
        <v>59</v>
      </c>
      <c r="K12" s="5"/>
      <c r="L12" s="2">
        <f>IF(L10=L7,0,IF(L10&lt;L7,L7-L10,""))</f>
        <v>0</v>
      </c>
      <c r="N12" s="455" t="s">
        <v>64</v>
      </c>
      <c r="O12" s="455"/>
      <c r="P12" s="455"/>
      <c r="Q12" s="453">
        <f>IF(B8&lt;Q10,0,B8-Q10)</f>
        <v>0</v>
      </c>
      <c r="R12" s="453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</row>
    <row r="13" spans="1:45" ht="15.75" thickBot="1" x14ac:dyDescent="0.3">
      <c r="A13" s="123" t="s">
        <v>205</v>
      </c>
      <c r="B13" s="188">
        <f>SUM(B10:B12)</f>
        <v>0</v>
      </c>
      <c r="C13" s="103"/>
      <c r="D13" s="56"/>
      <c r="E13" s="56"/>
      <c r="F13" s="56"/>
      <c r="G13" s="56"/>
      <c r="H13" s="256"/>
      <c r="I13" s="218"/>
      <c r="J13" s="1" t="s">
        <v>63</v>
      </c>
      <c r="K13" s="5"/>
      <c r="L13" s="2">
        <f>IF(L12&lt;B17+B16+B18+B15,L12,B17+B16+B18+B15)</f>
        <v>0</v>
      </c>
      <c r="N13" s="397"/>
      <c r="O13" s="397"/>
      <c r="P13" s="397"/>
      <c r="Q13" s="398"/>
      <c r="R13" s="398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</row>
    <row r="14" spans="1:45" ht="15.75" thickBot="1" x14ac:dyDescent="0.3">
      <c r="A14" s="263"/>
      <c r="B14" s="120"/>
      <c r="C14" s="56"/>
      <c r="D14" s="56"/>
      <c r="E14" s="56"/>
      <c r="F14" s="56"/>
      <c r="G14" s="56"/>
      <c r="H14" s="256"/>
      <c r="I14" s="218"/>
      <c r="J14" s="1"/>
      <c r="K14" s="5"/>
      <c r="N14" s="452" t="s">
        <v>70</v>
      </c>
      <c r="O14" s="452"/>
      <c r="P14" s="452"/>
      <c r="Q14" s="453">
        <f>L10</f>
        <v>0</v>
      </c>
      <c r="R14" s="453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</row>
    <row r="15" spans="1:45" x14ac:dyDescent="0.25">
      <c r="A15" s="121" t="s">
        <v>126</v>
      </c>
      <c r="B15" s="312"/>
      <c r="C15" s="106"/>
      <c r="D15" s="56"/>
      <c r="E15" s="56"/>
      <c r="F15" s="56"/>
      <c r="G15" s="56"/>
      <c r="H15" s="256"/>
      <c r="I15" s="232"/>
      <c r="J15" s="23" t="s">
        <v>68</v>
      </c>
      <c r="K15" s="5"/>
      <c r="L15" s="24">
        <f>IF(L13=0,0,L13*100/L23)</f>
        <v>0</v>
      </c>
      <c r="N15" s="454" t="s">
        <v>74</v>
      </c>
      <c r="O15" s="454"/>
      <c r="P15" s="454"/>
      <c r="Q15" s="21">
        <f>IF(F24=0,0,Q14*100/F24)</f>
        <v>0</v>
      </c>
      <c r="R15" s="55" t="s">
        <v>56</v>
      </c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</row>
    <row r="16" spans="1:45" x14ac:dyDescent="0.25">
      <c r="A16" s="122" t="s">
        <v>123</v>
      </c>
      <c r="B16" s="313"/>
      <c r="C16" s="106"/>
      <c r="D16" s="56"/>
      <c r="E16" s="56"/>
      <c r="F16" s="56"/>
      <c r="G16" s="56"/>
      <c r="H16" s="256"/>
      <c r="I16" s="232"/>
      <c r="J16" s="23"/>
      <c r="K16" s="5"/>
      <c r="L16" s="24"/>
      <c r="N16" s="455" t="s">
        <v>77</v>
      </c>
      <c r="O16" s="455"/>
      <c r="P16" s="455"/>
      <c r="Q16" s="453">
        <f>IF(B13&lt;Q14,0,B13-Q14)</f>
        <v>0</v>
      </c>
      <c r="R16" s="453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</row>
    <row r="17" spans="1:45" x14ac:dyDescent="0.25">
      <c r="A17" s="122" t="s">
        <v>127</v>
      </c>
      <c r="B17" s="313"/>
      <c r="C17" s="106"/>
      <c r="D17" s="56"/>
      <c r="E17" s="56"/>
      <c r="F17" s="56"/>
      <c r="G17" s="56"/>
      <c r="H17" s="256"/>
      <c r="I17" s="232"/>
      <c r="J17" s="23"/>
      <c r="K17" s="5"/>
      <c r="L17" s="24"/>
      <c r="N17" s="39"/>
      <c r="O17" s="39"/>
      <c r="P17" s="39"/>
      <c r="Q17" s="35"/>
      <c r="R17" s="22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</row>
    <row r="18" spans="1:45" x14ac:dyDescent="0.25">
      <c r="A18" s="122" t="s">
        <v>82</v>
      </c>
      <c r="B18" s="313"/>
      <c r="C18" s="106"/>
      <c r="D18" s="56"/>
      <c r="E18" s="56"/>
      <c r="F18" s="56"/>
      <c r="G18" s="56"/>
      <c r="H18" s="256"/>
      <c r="I18" s="232"/>
      <c r="J18" s="23"/>
      <c r="K18" s="5"/>
      <c r="L18" s="24"/>
      <c r="N18" s="452" t="s">
        <v>83</v>
      </c>
      <c r="O18" s="452"/>
      <c r="P18" s="452"/>
      <c r="Q18" s="495">
        <f>IF(OR(L31&gt;L30,L31=L30),L32,L40)</f>
        <v>0</v>
      </c>
      <c r="R18" s="495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</row>
    <row r="19" spans="1:45" ht="15.75" thickBot="1" x14ac:dyDescent="0.3">
      <c r="A19" s="123" t="s">
        <v>85</v>
      </c>
      <c r="B19" s="188">
        <f>SUM(B15:B18)</f>
        <v>0</v>
      </c>
      <c r="C19" s="106"/>
      <c r="D19" s="56"/>
      <c r="E19" s="56"/>
      <c r="F19" s="56"/>
      <c r="G19" s="56"/>
      <c r="H19" s="256"/>
      <c r="I19" s="232"/>
      <c r="J19" s="23"/>
      <c r="K19" s="5"/>
      <c r="L19" s="24"/>
      <c r="N19" s="454" t="s">
        <v>74</v>
      </c>
      <c r="O19" s="454"/>
      <c r="P19" s="454"/>
      <c r="Q19" s="21">
        <f>IF(F24=0,0,Q18*100/F24)</f>
        <v>0</v>
      </c>
      <c r="R19" s="55" t="s">
        <v>56</v>
      </c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</row>
    <row r="20" spans="1:45" ht="15.75" thickBot="1" x14ac:dyDescent="0.3">
      <c r="A20" s="263"/>
      <c r="B20" s="120"/>
      <c r="C20" s="61"/>
      <c r="D20" s="56"/>
      <c r="E20" s="56"/>
      <c r="F20" s="56"/>
      <c r="G20" s="56"/>
      <c r="H20" s="256"/>
      <c r="I20" s="232"/>
      <c r="J20" s="23"/>
      <c r="K20" s="5"/>
      <c r="L20" s="24"/>
      <c r="N20" s="454" t="s">
        <v>87</v>
      </c>
      <c r="O20" s="454"/>
      <c r="P20" s="454"/>
      <c r="Q20" s="535">
        <f>IF(OR(L31&gt;L30,L31=L30),L29,L36)</f>
        <v>0</v>
      </c>
      <c r="R20" s="535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</row>
    <row r="21" spans="1:45" ht="17.25" thickBot="1" x14ac:dyDescent="0.3">
      <c r="A21" s="190" t="s">
        <v>207</v>
      </c>
      <c r="B21" s="191">
        <f>B19+B13+B8</f>
        <v>0</v>
      </c>
      <c r="C21" s="243"/>
      <c r="D21" s="107"/>
      <c r="E21" s="107"/>
      <c r="F21" s="107"/>
      <c r="G21" s="107"/>
      <c r="H21" s="258"/>
      <c r="I21" s="232"/>
      <c r="J21" s="23"/>
      <c r="K21" s="5"/>
      <c r="L21" s="24"/>
      <c r="N21" s="454" t="s">
        <v>80</v>
      </c>
      <c r="O21" s="454"/>
      <c r="P21" s="454"/>
      <c r="Q21" s="21">
        <f>IF(F24=0,0,Q20*100/F24)</f>
        <v>0</v>
      </c>
      <c r="R21" s="55" t="s">
        <v>56</v>
      </c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</row>
    <row r="22" spans="1:45" x14ac:dyDescent="0.25">
      <c r="A22" s="268"/>
      <c r="B22" s="108"/>
      <c r="C22" s="98"/>
      <c r="D22" s="56"/>
      <c r="E22" s="56"/>
      <c r="F22" s="56"/>
      <c r="G22" s="56"/>
      <c r="H22" s="256"/>
      <c r="I22" s="218"/>
      <c r="J22" s="23" t="s">
        <v>71</v>
      </c>
      <c r="K22" s="5"/>
      <c r="L22" s="12">
        <f>IF(L13=0,0,IF(L15&gt;20,0.25*L23-0.25*L13,L13))</f>
        <v>0</v>
      </c>
      <c r="N22" s="464" t="s">
        <v>90</v>
      </c>
      <c r="O22" s="464"/>
      <c r="P22" s="464"/>
      <c r="Q22" s="493">
        <f>IF(B19&lt;Q18,0,B19-Q18)</f>
        <v>0</v>
      </c>
      <c r="R22" s="493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1:45" ht="15.75" thickBot="1" x14ac:dyDescent="0.3">
      <c r="A23" s="257"/>
      <c r="B23" s="107"/>
      <c r="C23" s="107"/>
      <c r="D23" s="465"/>
      <c r="E23" s="465"/>
      <c r="F23" s="465"/>
      <c r="G23" s="466"/>
      <c r="H23" s="467"/>
      <c r="I23" s="218"/>
      <c r="J23" s="23" t="s">
        <v>75</v>
      </c>
      <c r="K23" s="5"/>
      <c r="L23" s="2">
        <f>Q10+Q14+L13</f>
        <v>0</v>
      </c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</row>
    <row r="24" spans="1:45" ht="15.75" x14ac:dyDescent="0.25">
      <c r="A24" s="416" t="s">
        <v>152</v>
      </c>
      <c r="B24" s="417"/>
      <c r="C24" s="417"/>
      <c r="D24" s="417"/>
      <c r="E24" s="417"/>
      <c r="F24" s="412">
        <f>Q10+Q14+Q18</f>
        <v>0</v>
      </c>
      <c r="G24" s="412"/>
      <c r="H24" s="413"/>
      <c r="I24" s="218"/>
      <c r="J24" s="23" t="s">
        <v>78</v>
      </c>
      <c r="K24" s="1"/>
      <c r="L24" s="2">
        <f>Q10+Q14+L22</f>
        <v>0</v>
      </c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</row>
    <row r="25" spans="1:45" ht="16.5" thickBot="1" x14ac:dyDescent="0.3">
      <c r="A25" s="448" t="s">
        <v>153</v>
      </c>
      <c r="B25" s="449"/>
      <c r="C25" s="449"/>
      <c r="D25" s="449"/>
      <c r="E25" s="449"/>
      <c r="F25" s="450">
        <f>Q12+Q16+Q22</f>
        <v>0</v>
      </c>
      <c r="G25" s="450"/>
      <c r="H25" s="451"/>
      <c r="I25" s="232"/>
      <c r="J25" s="1"/>
      <c r="K25" s="1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</row>
    <row r="26" spans="1:45" x14ac:dyDescent="0.25">
      <c r="A26" s="268"/>
      <c r="B26" s="108"/>
      <c r="C26" s="108"/>
      <c r="D26" s="108"/>
      <c r="E26" s="108"/>
      <c r="F26" s="108"/>
      <c r="G26" s="108"/>
      <c r="H26" s="260"/>
      <c r="I26" s="218"/>
      <c r="J26" s="23" t="s">
        <v>81</v>
      </c>
      <c r="K26" s="1"/>
      <c r="L26" s="2">
        <f>(B16+B17+B18)-(1/0.9)*(B16+B17+B18)+(0.1/0.9)*(Q10+Q14+B16+B17+B18+B15)</f>
        <v>0</v>
      </c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</row>
    <row r="27" spans="1:45" ht="15" customHeight="1" x14ac:dyDescent="0.25">
      <c r="A27" s="255"/>
      <c r="B27" s="56"/>
      <c r="C27" s="56"/>
      <c r="D27" s="56"/>
      <c r="E27" s="56"/>
      <c r="F27" s="56"/>
      <c r="G27" s="56"/>
      <c r="H27" s="256"/>
      <c r="I27" s="232"/>
      <c r="J27" s="23" t="s">
        <v>84</v>
      </c>
      <c r="K27" s="1"/>
      <c r="L27" s="2">
        <f>IF(L26=0,0,IF(B16+B17+B18&gt;L26,L26,B16+B17+B18))</f>
        <v>0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</row>
    <row r="28" spans="1:45" ht="15" customHeight="1" thickBot="1" x14ac:dyDescent="0.3">
      <c r="A28" s="257"/>
      <c r="B28" s="107"/>
      <c r="C28" s="107"/>
      <c r="D28" s="107"/>
      <c r="E28" s="107"/>
      <c r="F28" s="107"/>
      <c r="G28" s="107"/>
      <c r="H28" s="258"/>
      <c r="I28" s="232"/>
      <c r="J28" s="23"/>
      <c r="K28" s="1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</row>
    <row r="29" spans="1:45" ht="16.5" thickBot="1" x14ac:dyDescent="0.3">
      <c r="A29" s="456" t="s">
        <v>154</v>
      </c>
      <c r="B29" s="457"/>
      <c r="C29" s="457"/>
      <c r="D29" s="457"/>
      <c r="E29" s="457"/>
      <c r="F29" s="457"/>
      <c r="G29" s="457"/>
      <c r="H29" s="458"/>
      <c r="I29" s="218"/>
      <c r="J29" s="23" t="s">
        <v>86</v>
      </c>
      <c r="K29" s="1"/>
      <c r="L29" s="2">
        <f>IF(L27&gt;L22,L22,L27)</f>
        <v>0</v>
      </c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</row>
    <row r="30" spans="1:45" ht="15.75" x14ac:dyDescent="0.25">
      <c r="A30" s="459" t="s">
        <v>208</v>
      </c>
      <c r="B30" s="461" t="s">
        <v>210</v>
      </c>
      <c r="C30" s="461" t="s">
        <v>25</v>
      </c>
      <c r="D30" s="461" t="s">
        <v>36</v>
      </c>
      <c r="E30" s="461" t="s">
        <v>27</v>
      </c>
      <c r="F30" s="461" t="s">
        <v>225</v>
      </c>
      <c r="G30" s="461" t="s">
        <v>29</v>
      </c>
      <c r="H30" s="462"/>
      <c r="I30" s="220"/>
      <c r="J30" s="23" t="s">
        <v>88</v>
      </c>
      <c r="K30" s="1"/>
      <c r="L30" s="24">
        <f>L22-L29</f>
        <v>0</v>
      </c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</row>
    <row r="31" spans="1:45" ht="15.75" x14ac:dyDescent="0.25">
      <c r="A31" s="460"/>
      <c r="B31" s="402"/>
      <c r="C31" s="402"/>
      <c r="D31" s="402"/>
      <c r="E31" s="402"/>
      <c r="F31" s="402"/>
      <c r="G31" s="402"/>
      <c r="H31" s="463"/>
      <c r="I31" s="220"/>
      <c r="J31" s="23" t="s">
        <v>89</v>
      </c>
      <c r="K31" s="1"/>
      <c r="L31" s="2">
        <f>IF(B15=0,0,IF(B15&gt;L30,L30,B15))</f>
        <v>0</v>
      </c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</row>
    <row r="32" spans="1:45" ht="15.75" x14ac:dyDescent="0.25">
      <c r="A32" s="209" t="s">
        <v>0</v>
      </c>
      <c r="B32" s="153">
        <f>B5</f>
        <v>0</v>
      </c>
      <c r="C32" s="9">
        <f>B32/(B$48+0.00001)</f>
        <v>0</v>
      </c>
      <c r="D32" s="8">
        <f>IF(C32&lt;80%,B32,4*(B33+B34))</f>
        <v>0</v>
      </c>
      <c r="E32" s="9">
        <f>G32/(F$51+0.00001)</f>
        <v>0</v>
      </c>
      <c r="F32" s="8">
        <f>IF(OR($D$34=$B$35,$D$33=$B$35,$D$32=$B$35,C32=100%),0,D32)</f>
        <v>0</v>
      </c>
      <c r="G32" s="51">
        <f>F32</f>
        <v>0</v>
      </c>
      <c r="H32" s="210"/>
      <c r="I32" s="220"/>
      <c r="J32" s="23" t="s">
        <v>92</v>
      </c>
      <c r="L32" s="2">
        <f>L31+L29</f>
        <v>0</v>
      </c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</row>
    <row r="33" spans="1:45" ht="15.75" x14ac:dyDescent="0.25">
      <c r="A33" s="196" t="s">
        <v>1</v>
      </c>
      <c r="B33" s="152">
        <f>B6</f>
        <v>0</v>
      </c>
      <c r="C33" s="11">
        <f>B33/($B$48+0.00001)</f>
        <v>0</v>
      </c>
      <c r="D33" s="7">
        <f>IF(C33&lt;80%,B33,4*(B34+B32))</f>
        <v>0</v>
      </c>
      <c r="E33" s="9">
        <f>G33/(F$51+0.00001)</f>
        <v>0</v>
      </c>
      <c r="F33" s="8">
        <f>IF(OR($D$32=$B$35,$D$33=$B$35,$D$34=$B$35,C33=100%),0,D33)</f>
        <v>0</v>
      </c>
      <c r="G33" s="51">
        <f>F33</f>
        <v>0</v>
      </c>
      <c r="H33" s="210"/>
      <c r="I33" s="220"/>
      <c r="J33" s="23" t="s">
        <v>78</v>
      </c>
      <c r="L33" s="2">
        <f>Q10+Q14+L32</f>
        <v>0</v>
      </c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</row>
    <row r="34" spans="1:45" ht="15.75" thickBot="1" x14ac:dyDescent="0.3">
      <c r="A34" s="196" t="s">
        <v>49</v>
      </c>
      <c r="B34" s="152">
        <f>B7</f>
        <v>0</v>
      </c>
      <c r="C34" s="213">
        <f>B34/($B$48+0.00001)</f>
        <v>0</v>
      </c>
      <c r="D34" s="198">
        <f>IF(C34&lt;80%,B34,4*(B33+B32))</f>
        <v>0</v>
      </c>
      <c r="E34" s="201">
        <f>G34/(F$51+0.00001)</f>
        <v>0</v>
      </c>
      <c r="F34" s="202">
        <f>IF(OR($D$32=$B$35,$D$33=$B$35,$D$34=$B$35,C34=100%),0,D34)</f>
        <v>0</v>
      </c>
      <c r="G34" s="217">
        <f>F34</f>
        <v>0</v>
      </c>
      <c r="H34" s="215"/>
      <c r="I34" s="113"/>
      <c r="J34" s="23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</row>
    <row r="35" spans="1:45" ht="16.5" thickBot="1" x14ac:dyDescent="0.3">
      <c r="A35" s="192" t="s">
        <v>204</v>
      </c>
      <c r="B35" s="216">
        <f>SUM(B32:B34)</f>
        <v>0</v>
      </c>
      <c r="C35" s="227"/>
      <c r="D35" s="108"/>
      <c r="E35" s="185"/>
      <c r="F35" s="189"/>
      <c r="G35" s="224"/>
      <c r="H35" s="277"/>
      <c r="I35" s="103"/>
      <c r="J35" s="23" t="s">
        <v>95</v>
      </c>
      <c r="L35" s="2">
        <f>0.1*L33</f>
        <v>0</v>
      </c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</row>
    <row r="36" spans="1:45" ht="15.75" thickBot="1" x14ac:dyDescent="0.3">
      <c r="A36" s="263"/>
      <c r="B36" s="120"/>
      <c r="C36" s="189"/>
      <c r="D36" s="189"/>
      <c r="E36" s="185"/>
      <c r="F36" s="108"/>
      <c r="G36" s="200"/>
      <c r="H36" s="269"/>
      <c r="I36" s="140"/>
      <c r="J36" s="23" t="s">
        <v>84</v>
      </c>
      <c r="L36" s="12">
        <f>IF(L35=0,0,IF(B16+B17+B18&gt;L35,L35,B16+B17+B18))</f>
        <v>0</v>
      </c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</row>
    <row r="37" spans="1:45" x14ac:dyDescent="0.25">
      <c r="A37" s="238" t="s">
        <v>61</v>
      </c>
      <c r="B37" s="239">
        <f>B10</f>
        <v>0</v>
      </c>
      <c r="C37" s="203"/>
      <c r="D37" s="56"/>
      <c r="E37" s="56"/>
      <c r="F37" s="56"/>
      <c r="G37" s="56"/>
      <c r="H37" s="256"/>
      <c r="I37" s="103"/>
      <c r="J37" s="23"/>
      <c r="N37" s="452" t="s">
        <v>58</v>
      </c>
      <c r="O37" s="452"/>
      <c r="P37" s="452"/>
      <c r="Q37" s="361">
        <f>SUM(G32,G33,G34)</f>
        <v>0</v>
      </c>
      <c r="R37" s="362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</row>
    <row r="38" spans="1:45" x14ac:dyDescent="0.25">
      <c r="A38" s="240" t="s">
        <v>125</v>
      </c>
      <c r="B38" s="241">
        <f>B11</f>
        <v>0</v>
      </c>
      <c r="C38" s="103"/>
      <c r="D38" s="56"/>
      <c r="E38" s="56"/>
      <c r="F38" s="56"/>
      <c r="G38" s="56"/>
      <c r="H38" s="256"/>
      <c r="I38" s="103"/>
      <c r="J38" s="23" t="s">
        <v>88</v>
      </c>
      <c r="L38" s="2">
        <f>L22-L36</f>
        <v>0</v>
      </c>
      <c r="N38" s="454" t="s">
        <v>97</v>
      </c>
      <c r="O38" s="454"/>
      <c r="P38" s="454"/>
      <c r="Q38" s="21">
        <f>IF(F51=0,0,Q37*100/F51)</f>
        <v>0</v>
      </c>
      <c r="R38" s="55" t="s">
        <v>56</v>
      </c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</row>
    <row r="39" spans="1:45" x14ac:dyDescent="0.25">
      <c r="A39" s="242" t="s">
        <v>124</v>
      </c>
      <c r="B39" s="241">
        <f>B12</f>
        <v>0</v>
      </c>
      <c r="C39" s="103"/>
      <c r="D39" s="56"/>
      <c r="E39" s="56"/>
      <c r="F39" s="56"/>
      <c r="G39" s="56"/>
      <c r="H39" s="256"/>
      <c r="I39" s="103"/>
      <c r="J39" s="23" t="s">
        <v>89</v>
      </c>
      <c r="L39" s="2">
        <f>IF(B15=0,0,IF(B15&gt;L38,L38,B15))</f>
        <v>0</v>
      </c>
      <c r="N39" s="455" t="s">
        <v>64</v>
      </c>
      <c r="O39" s="455"/>
      <c r="P39" s="455"/>
      <c r="Q39" s="510">
        <f>IF(B35&lt;Q37,0,B35-Q37)</f>
        <v>0</v>
      </c>
      <c r="R39" s="534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</row>
    <row r="40" spans="1:45" ht="15.75" thickBot="1" x14ac:dyDescent="0.3">
      <c r="A40" s="123" t="s">
        <v>205</v>
      </c>
      <c r="B40" s="188">
        <f>SUM(B37:B39)</f>
        <v>0</v>
      </c>
      <c r="C40" s="103"/>
      <c r="D40" s="56"/>
      <c r="E40" s="56"/>
      <c r="F40" s="56"/>
      <c r="G40" s="56"/>
      <c r="H40" s="256"/>
      <c r="I40" s="103"/>
      <c r="J40" s="23" t="s">
        <v>92</v>
      </c>
      <c r="L40" s="12">
        <f>L39+L36</f>
        <v>0</v>
      </c>
      <c r="N40" s="397"/>
      <c r="O40" s="397"/>
      <c r="P40" s="397"/>
      <c r="Q40" s="398"/>
      <c r="R40" s="398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</row>
    <row r="41" spans="1:45" ht="15.75" thickBot="1" x14ac:dyDescent="0.3">
      <c r="A41" s="263"/>
      <c r="B41" s="127"/>
      <c r="C41" s="56"/>
      <c r="D41" s="56"/>
      <c r="E41" s="56"/>
      <c r="F41" s="56"/>
      <c r="G41" s="56"/>
      <c r="H41" s="256"/>
      <c r="I41" s="103"/>
      <c r="J41" s="23"/>
      <c r="N41" s="452" t="s">
        <v>70</v>
      </c>
      <c r="O41" s="452"/>
      <c r="P41" s="452"/>
      <c r="Q41" s="361">
        <f>L58</f>
        <v>0</v>
      </c>
      <c r="R41" s="362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</row>
    <row r="42" spans="1:45" x14ac:dyDescent="0.25">
      <c r="A42" s="121" t="s">
        <v>126</v>
      </c>
      <c r="B42" s="206">
        <f>B15</f>
        <v>0</v>
      </c>
      <c r="C42" s="106"/>
      <c r="D42" s="56"/>
      <c r="E42" s="56"/>
      <c r="F42" s="56"/>
      <c r="G42" s="56"/>
      <c r="H42" s="256"/>
      <c r="I42" s="103"/>
      <c r="J42" s="1" t="s">
        <v>39</v>
      </c>
      <c r="K42" s="5"/>
      <c r="L42" s="2">
        <f>Q37*20/80</f>
        <v>0</v>
      </c>
      <c r="N42" s="454" t="s">
        <v>74</v>
      </c>
      <c r="O42" s="454"/>
      <c r="P42" s="454"/>
      <c r="Q42" s="21">
        <f>IF(F51=0,0,Q41*100/F51)</f>
        <v>0</v>
      </c>
      <c r="R42" s="55" t="s">
        <v>56</v>
      </c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</row>
    <row r="43" spans="1:45" x14ac:dyDescent="0.25">
      <c r="A43" s="122" t="s">
        <v>123</v>
      </c>
      <c r="B43" s="207">
        <f>B16</f>
        <v>0</v>
      </c>
      <c r="C43" s="106"/>
      <c r="D43" s="56"/>
      <c r="E43" s="56"/>
      <c r="F43" s="56"/>
      <c r="G43" s="56"/>
      <c r="H43" s="256"/>
      <c r="I43" s="103"/>
      <c r="J43" s="1" t="s">
        <v>40</v>
      </c>
      <c r="K43" s="5"/>
      <c r="L43" s="2">
        <f>B37+B39+L49</f>
        <v>0</v>
      </c>
      <c r="N43" s="454" t="s">
        <v>79</v>
      </c>
      <c r="O43" s="454"/>
      <c r="P43" s="454"/>
      <c r="Q43" s="361">
        <f>L56</f>
        <v>0</v>
      </c>
      <c r="R43" s="362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</row>
    <row r="44" spans="1:45" x14ac:dyDescent="0.25">
      <c r="A44" s="122" t="s">
        <v>127</v>
      </c>
      <c r="B44" s="207">
        <f>B17</f>
        <v>0</v>
      </c>
      <c r="C44" s="106"/>
      <c r="D44" s="56"/>
      <c r="E44" s="56"/>
      <c r="F44" s="56"/>
      <c r="G44" s="56"/>
      <c r="H44" s="256"/>
      <c r="I44" s="103"/>
      <c r="J44" s="1" t="s">
        <v>44</v>
      </c>
      <c r="K44" s="5"/>
      <c r="L44" s="2" t="e">
        <f>IF((Q37*100/F51)&gt;70,100-(Q37*100/F51),30)</f>
        <v>#DIV/0!</v>
      </c>
      <c r="N44" s="454" t="s">
        <v>80</v>
      </c>
      <c r="O44" s="454"/>
      <c r="P44" s="454"/>
      <c r="Q44" s="21">
        <f>IF(F51=0,0,Q43*100/F51)</f>
        <v>0</v>
      </c>
      <c r="R44" s="55" t="s">
        <v>56</v>
      </c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</row>
    <row r="45" spans="1:45" x14ac:dyDescent="0.25">
      <c r="A45" s="122" t="s">
        <v>82</v>
      </c>
      <c r="B45" s="207">
        <f>B18</f>
        <v>0</v>
      </c>
      <c r="C45" s="222"/>
      <c r="D45" s="56"/>
      <c r="E45" s="56"/>
      <c r="F45" s="56"/>
      <c r="G45" s="56"/>
      <c r="H45" s="256"/>
      <c r="I45" s="103"/>
      <c r="J45" s="1" t="s">
        <v>106</v>
      </c>
      <c r="K45" s="5"/>
      <c r="L45" s="12">
        <f>IF(B37+B39=0,B38,IF((B38+B37+B39)&gt;L42,L42,(B38+B37+B39)))</f>
        <v>0</v>
      </c>
      <c r="N45" s="455" t="s">
        <v>77</v>
      </c>
      <c r="O45" s="455"/>
      <c r="P45" s="455"/>
      <c r="Q45" s="361">
        <f>IF(B40&lt;Q41,0,B40-Q41)</f>
        <v>0</v>
      </c>
      <c r="R45" s="362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</row>
    <row r="46" spans="1:45" ht="15.75" thickBot="1" x14ac:dyDescent="0.3">
      <c r="A46" s="123" t="s">
        <v>85</v>
      </c>
      <c r="B46" s="188">
        <f>SUM(B42:B45)</f>
        <v>0</v>
      </c>
      <c r="C46" s="103"/>
      <c r="D46" s="56"/>
      <c r="E46" s="56"/>
      <c r="F46" s="56"/>
      <c r="G46" s="56"/>
      <c r="H46" s="256"/>
      <c r="I46" s="103"/>
      <c r="J46" s="23" t="s">
        <v>66</v>
      </c>
      <c r="L46" s="2" t="e">
        <f>B38*100/(Q37+B37+B38+B39+B46)</f>
        <v>#DIV/0!</v>
      </c>
      <c r="N46" s="397"/>
      <c r="O46" s="397"/>
      <c r="P46" s="397"/>
      <c r="Q46" s="398"/>
      <c r="R46" s="398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</row>
    <row r="47" spans="1:45" ht="15.75" thickBot="1" x14ac:dyDescent="0.3">
      <c r="A47" s="263"/>
      <c r="B47" s="127"/>
      <c r="C47" s="56"/>
      <c r="D47" s="56"/>
      <c r="E47" s="56"/>
      <c r="F47" s="56"/>
      <c r="G47" s="56"/>
      <c r="H47" s="256"/>
      <c r="I47" s="103"/>
      <c r="J47" t="s">
        <v>108</v>
      </c>
      <c r="L47" s="2">
        <f>0.1*(Q37+B37+B38+B39+B46)</f>
        <v>0</v>
      </c>
      <c r="N47" s="452" t="s">
        <v>83</v>
      </c>
      <c r="O47" s="452"/>
      <c r="P47" s="452"/>
      <c r="Q47" s="361">
        <f>IF(OR(L73&gt;L72,L73=L72),L74,L82)</f>
        <v>0</v>
      </c>
      <c r="R47" s="362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</row>
    <row r="48" spans="1:45" ht="17.25" thickBot="1" x14ac:dyDescent="0.3">
      <c r="A48" s="190" t="s">
        <v>207</v>
      </c>
      <c r="B48" s="191">
        <f>B46+B40+B35</f>
        <v>0</v>
      </c>
      <c r="C48" s="103"/>
      <c r="D48" s="56"/>
      <c r="E48" s="56"/>
      <c r="F48" s="56"/>
      <c r="G48" s="56"/>
      <c r="H48" s="256"/>
      <c r="I48" s="103"/>
      <c r="J48" t="s">
        <v>72</v>
      </c>
      <c r="L48" s="2">
        <f>B38</f>
        <v>0</v>
      </c>
      <c r="N48" s="454" t="s">
        <v>74</v>
      </c>
      <c r="O48" s="454"/>
      <c r="P48" s="454"/>
      <c r="Q48" s="21">
        <f>IF(F51=0,0,Q47*100/F51)</f>
        <v>0</v>
      </c>
      <c r="R48" s="55" t="s">
        <v>56</v>
      </c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</row>
    <row r="49" spans="1:45" x14ac:dyDescent="0.25">
      <c r="A49" s="268"/>
      <c r="B49" s="108"/>
      <c r="C49" s="56"/>
      <c r="D49" s="56"/>
      <c r="E49" s="56"/>
      <c r="F49" s="56"/>
      <c r="G49" s="56"/>
      <c r="H49" s="256"/>
      <c r="I49" s="103"/>
      <c r="J49" t="s">
        <v>76</v>
      </c>
      <c r="L49" s="2">
        <f>IF(L48&gt;L47,L47,L48)</f>
        <v>0</v>
      </c>
      <c r="N49" s="454" t="s">
        <v>87</v>
      </c>
      <c r="O49" s="454"/>
      <c r="P49" s="454"/>
      <c r="Q49" s="361">
        <f>IF(OR(L73&gt;L72,L73=L72),L71,L78)</f>
        <v>0</v>
      </c>
      <c r="R49" s="362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</row>
    <row r="50" spans="1:45" ht="16.5" thickBot="1" x14ac:dyDescent="0.3">
      <c r="A50" s="257"/>
      <c r="B50" s="107"/>
      <c r="C50" s="182"/>
      <c r="D50" s="107"/>
      <c r="E50" s="107"/>
      <c r="F50" s="107"/>
      <c r="G50" s="107"/>
      <c r="H50" s="258"/>
      <c r="I50" s="237"/>
      <c r="J50" s="1"/>
      <c r="K50" s="5"/>
      <c r="N50" s="454" t="s">
        <v>80</v>
      </c>
      <c r="O50" s="454"/>
      <c r="P50" s="454"/>
      <c r="Q50" s="21">
        <f>IF(F51=0,0,Q49*100/F51)</f>
        <v>0</v>
      </c>
      <c r="R50" s="55" t="s">
        <v>56</v>
      </c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</row>
    <row r="51" spans="1:45" ht="15.75" x14ac:dyDescent="0.25">
      <c r="A51" s="444" t="s">
        <v>155</v>
      </c>
      <c r="B51" s="445"/>
      <c r="C51" s="445"/>
      <c r="D51" s="445"/>
      <c r="E51" s="445"/>
      <c r="F51" s="446">
        <f>Q37+Q41+Q47</f>
        <v>0</v>
      </c>
      <c r="G51" s="446"/>
      <c r="H51" s="447"/>
      <c r="I51" s="237"/>
      <c r="J51" s="1" t="s">
        <v>109</v>
      </c>
      <c r="L51" s="2">
        <f>L47+B37+B39</f>
        <v>0</v>
      </c>
      <c r="N51" s="464" t="s">
        <v>90</v>
      </c>
      <c r="O51" s="464"/>
      <c r="P51" s="464"/>
      <c r="Q51" s="361">
        <f>IF(B46&lt;Q47,0,B46-Q47)</f>
        <v>0</v>
      </c>
      <c r="R51" s="362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</row>
    <row r="52" spans="1:45" ht="16.5" thickBot="1" x14ac:dyDescent="0.3">
      <c r="A52" s="448" t="s">
        <v>156</v>
      </c>
      <c r="B52" s="449"/>
      <c r="C52" s="449"/>
      <c r="D52" s="449"/>
      <c r="E52" s="449"/>
      <c r="F52" s="450">
        <f>Q39+Q45+Q51</f>
        <v>0</v>
      </c>
      <c r="G52" s="450"/>
      <c r="H52" s="451"/>
      <c r="I52" s="103"/>
      <c r="J52" s="1" t="s">
        <v>110</v>
      </c>
      <c r="L52" s="2">
        <f>L49+B37+B39</f>
        <v>0</v>
      </c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</row>
    <row r="53" spans="1:45" x14ac:dyDescent="0.25">
      <c r="A53" s="108"/>
      <c r="B53" s="108"/>
      <c r="C53" s="108"/>
      <c r="D53" s="108"/>
      <c r="E53" s="108"/>
      <c r="F53" s="108"/>
      <c r="G53" s="108"/>
      <c r="H53" s="118"/>
      <c r="I53" s="56"/>
      <c r="J53" s="23" t="s">
        <v>81</v>
      </c>
      <c r="L53" s="2">
        <f>B38-(1/0.9)*(B38)+(0.1/0.9)*(Q37+B37+B38+B39+B42+B43+B44+B45+B46)</f>
        <v>0</v>
      </c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</row>
    <row r="54" spans="1:45" x14ac:dyDescent="0.25">
      <c r="A54" s="56"/>
      <c r="B54" s="56"/>
      <c r="C54" s="56"/>
      <c r="D54" s="56"/>
      <c r="E54" s="56"/>
      <c r="F54" s="56"/>
      <c r="G54" s="56"/>
      <c r="H54" s="63"/>
      <c r="I54" s="59"/>
      <c r="J54" s="1" t="s">
        <v>111</v>
      </c>
      <c r="L54" s="2">
        <f>IF(L53=0,0,IF(B38&gt;L53,L53,B38))</f>
        <v>0</v>
      </c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</row>
    <row r="55" spans="1:45" x14ac:dyDescent="0.25">
      <c r="A55" s="56"/>
      <c r="B55" s="56"/>
      <c r="C55" s="56"/>
      <c r="D55" s="56"/>
      <c r="E55" s="56"/>
      <c r="F55" s="56"/>
      <c r="G55" s="56"/>
      <c r="H55" s="63"/>
      <c r="I55" s="60"/>
      <c r="J55" s="1" t="s">
        <v>112</v>
      </c>
      <c r="L55" s="2">
        <f>IF(L54&gt;L45,L45,L54)</f>
        <v>0</v>
      </c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</row>
    <row r="56" spans="1:45" x14ac:dyDescent="0.25">
      <c r="A56" s="56"/>
      <c r="B56" s="56"/>
      <c r="C56" s="56"/>
      <c r="D56" s="56"/>
      <c r="E56" s="56"/>
      <c r="F56" s="56"/>
      <c r="G56" s="56"/>
      <c r="H56" s="63"/>
      <c r="I56" s="60"/>
      <c r="J56" s="1" t="s">
        <v>113</v>
      </c>
      <c r="L56" s="2">
        <f>IF(L48&gt;L55,L55,L48)</f>
        <v>0</v>
      </c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</row>
    <row r="57" spans="1:45" x14ac:dyDescent="0.25">
      <c r="A57" s="56"/>
      <c r="B57" s="56"/>
      <c r="C57" s="56"/>
      <c r="D57" s="56"/>
      <c r="E57" s="56"/>
      <c r="F57" s="56"/>
      <c r="G57" s="56"/>
      <c r="H57" s="63"/>
      <c r="I57" s="60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</row>
    <row r="58" spans="1:45" x14ac:dyDescent="0.25">
      <c r="A58" s="56"/>
      <c r="B58" s="56"/>
      <c r="C58" s="56"/>
      <c r="D58" s="56"/>
      <c r="E58" s="56"/>
      <c r="F58" s="56"/>
      <c r="G58" s="56"/>
      <c r="H58" s="63"/>
      <c r="I58" s="60"/>
      <c r="J58" s="1" t="s">
        <v>106</v>
      </c>
      <c r="K58" s="5"/>
      <c r="L58" s="12">
        <f>L56+B37+B39</f>
        <v>0</v>
      </c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</row>
    <row r="59" spans="1:45" x14ac:dyDescent="0.25">
      <c r="A59" s="56"/>
      <c r="B59" s="56"/>
      <c r="C59" s="56"/>
      <c r="D59" s="56"/>
      <c r="E59" s="56"/>
      <c r="F59" s="56"/>
      <c r="G59" s="56"/>
      <c r="H59" s="63"/>
      <c r="I59" s="82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</row>
    <row r="60" spans="1:45" x14ac:dyDescent="0.25">
      <c r="A60" s="56"/>
      <c r="B60" s="56"/>
      <c r="C60" s="56"/>
      <c r="D60" s="56"/>
      <c r="E60" s="56"/>
      <c r="F60" s="56"/>
      <c r="G60" s="56"/>
      <c r="H60" s="63"/>
      <c r="I60" s="73"/>
      <c r="J60" s="1" t="s">
        <v>59</v>
      </c>
      <c r="K60" s="5"/>
      <c r="L60" s="2">
        <f>IF(L45=L42,0,IF(L45&lt;L42,L42-L45,""))</f>
        <v>0</v>
      </c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</row>
    <row r="61" spans="1:45" x14ac:dyDescent="0.25">
      <c r="A61" s="56"/>
      <c r="B61" s="56"/>
      <c r="C61" s="56"/>
      <c r="D61" s="56"/>
      <c r="E61" s="56"/>
      <c r="F61" s="56"/>
      <c r="G61" s="56"/>
      <c r="H61" s="63"/>
      <c r="I61" s="77"/>
      <c r="J61" s="1" t="s">
        <v>63</v>
      </c>
      <c r="K61" s="5"/>
      <c r="L61" s="2">
        <f>IF(L60&lt;B44+B43+B45+B42,L60,B44+B43+B45+B42)</f>
        <v>0</v>
      </c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</row>
    <row r="62" spans="1:45" x14ac:dyDescent="0.25">
      <c r="A62" s="56"/>
      <c r="B62" s="56"/>
      <c r="C62" s="56"/>
      <c r="D62" s="56"/>
      <c r="E62" s="56"/>
      <c r="F62" s="56"/>
      <c r="G62" s="56"/>
      <c r="H62" s="63"/>
      <c r="I62" s="73"/>
      <c r="J62" s="23" t="s">
        <v>68</v>
      </c>
      <c r="K62" s="5"/>
      <c r="L62" s="24">
        <f>IF(L61=0,0,L61*100/L66)</f>
        <v>0</v>
      </c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</row>
    <row r="63" spans="1:45" x14ac:dyDescent="0.25">
      <c r="A63" s="56"/>
      <c r="B63" s="56"/>
      <c r="C63" s="56"/>
      <c r="D63" s="56"/>
      <c r="E63" s="56"/>
      <c r="F63" s="56"/>
      <c r="G63" s="56"/>
      <c r="H63" s="63"/>
      <c r="I63" s="73"/>
      <c r="J63" s="23" t="s">
        <v>71</v>
      </c>
      <c r="K63" s="5"/>
      <c r="L63" s="12">
        <f>IF(L61=0,0,IF(L62&gt;20,0.25*L66-0.25*L61,L61))</f>
        <v>0</v>
      </c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</row>
    <row r="64" spans="1:45" x14ac:dyDescent="0.25">
      <c r="A64" s="56"/>
      <c r="B64" s="56"/>
      <c r="C64" s="56"/>
      <c r="D64" s="56"/>
      <c r="E64" s="56"/>
      <c r="F64" s="56"/>
      <c r="G64" s="56"/>
      <c r="H64" s="63"/>
      <c r="I64" s="73"/>
      <c r="J64" s="23"/>
      <c r="K64" s="5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</row>
    <row r="65" spans="1:45" x14ac:dyDescent="0.25">
      <c r="A65" s="56"/>
      <c r="B65" s="56"/>
      <c r="C65" s="56"/>
      <c r="D65" s="56"/>
      <c r="E65" s="56"/>
      <c r="F65" s="56"/>
      <c r="G65" s="56"/>
      <c r="H65" s="63"/>
      <c r="I65" s="77"/>
      <c r="J65" s="23"/>
      <c r="K65" s="5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</row>
    <row r="66" spans="1:45" x14ac:dyDescent="0.25">
      <c r="A66" s="56"/>
      <c r="B66" s="56"/>
      <c r="C66" s="56"/>
      <c r="D66" s="56"/>
      <c r="E66" s="56"/>
      <c r="F66" s="56"/>
      <c r="G66" s="56"/>
      <c r="H66" s="63"/>
      <c r="I66" s="77"/>
      <c r="J66" s="23" t="s">
        <v>75</v>
      </c>
      <c r="K66" s="5"/>
      <c r="L66" s="2">
        <f>Q37+Q41+L61</f>
        <v>0</v>
      </c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</row>
    <row r="67" spans="1:45" x14ac:dyDescent="0.25">
      <c r="A67" s="56"/>
      <c r="B67" s="56"/>
      <c r="C67" s="56"/>
      <c r="D67" s="56"/>
      <c r="E67" s="56"/>
      <c r="F67" s="56"/>
      <c r="G67" s="56"/>
      <c r="H67" s="63"/>
      <c r="I67" s="77"/>
      <c r="J67" s="23" t="s">
        <v>78</v>
      </c>
      <c r="K67" s="1"/>
      <c r="L67" s="2">
        <f>Q37+Q41+L63</f>
        <v>0</v>
      </c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</row>
    <row r="68" spans="1:45" x14ac:dyDescent="0.25">
      <c r="I68" s="20"/>
      <c r="J68" s="1"/>
      <c r="K68" s="1"/>
    </row>
    <row r="69" spans="1:45" x14ac:dyDescent="0.25">
      <c r="I69" s="20"/>
      <c r="J69" s="23" t="s">
        <v>81</v>
      </c>
      <c r="K69" s="1"/>
      <c r="L69" s="2">
        <f>(B43+B44+B45)-(1/0.9)*(B43+B44+B45)+(0.1/0.9)*(Q37+Q41+B43+B44+B45+B42)</f>
        <v>0</v>
      </c>
    </row>
    <row r="70" spans="1:45" x14ac:dyDescent="0.25">
      <c r="I70" s="20"/>
      <c r="J70" s="23" t="s">
        <v>84</v>
      </c>
      <c r="K70" s="1"/>
      <c r="L70" s="2">
        <f>IF(L69=0,0,IF(B43+B44+B45&gt;L69,L69,B43+B44+B45))</f>
        <v>0</v>
      </c>
    </row>
    <row r="71" spans="1:45" x14ac:dyDescent="0.25">
      <c r="I71" s="22"/>
      <c r="J71" s="23" t="s">
        <v>86</v>
      </c>
      <c r="K71" s="1"/>
      <c r="L71" s="2">
        <f>IF(L70&gt;L63,L63,L70)</f>
        <v>0</v>
      </c>
    </row>
    <row r="72" spans="1:45" x14ac:dyDescent="0.25">
      <c r="I72" s="20"/>
      <c r="J72" s="23" t="s">
        <v>88</v>
      </c>
      <c r="K72" s="1"/>
      <c r="L72" s="24">
        <f>L63-L71</f>
        <v>0</v>
      </c>
    </row>
    <row r="73" spans="1:45" x14ac:dyDescent="0.25">
      <c r="I73" s="22"/>
      <c r="J73" s="23" t="s">
        <v>89</v>
      </c>
      <c r="K73" s="1"/>
      <c r="L73" s="2">
        <f>IF(B42=0,0,IF(B42&gt;L72,L72,B42))</f>
        <v>0</v>
      </c>
    </row>
    <row r="74" spans="1:45" x14ac:dyDescent="0.25">
      <c r="I74" s="20"/>
      <c r="J74" s="23" t="s">
        <v>92</v>
      </c>
      <c r="L74" s="2">
        <f>L73+L71</f>
        <v>0</v>
      </c>
    </row>
    <row r="75" spans="1:45" ht="15.75" x14ac:dyDescent="0.25">
      <c r="I75" s="32"/>
      <c r="J75" s="23" t="s">
        <v>78</v>
      </c>
      <c r="L75" s="2">
        <f>Q37+Q41+L74</f>
        <v>0</v>
      </c>
    </row>
    <row r="76" spans="1:45" ht="15.75" x14ac:dyDescent="0.25">
      <c r="I76" s="32"/>
      <c r="J76" s="23"/>
    </row>
    <row r="77" spans="1:45" ht="15.75" x14ac:dyDescent="0.25">
      <c r="I77" s="32"/>
      <c r="J77" s="23" t="s">
        <v>95</v>
      </c>
      <c r="L77" s="2">
        <f>0.1*L75</f>
        <v>0</v>
      </c>
    </row>
    <row r="78" spans="1:45" ht="15.75" x14ac:dyDescent="0.25">
      <c r="I78" s="32"/>
      <c r="J78" s="23" t="s">
        <v>84</v>
      </c>
      <c r="L78" s="12">
        <f>IF(L77=0,0,IF(B43+B44+B45&gt;L77,L77,B43+B44+B45))</f>
        <v>0</v>
      </c>
    </row>
    <row r="79" spans="1:45" x14ac:dyDescent="0.25">
      <c r="J79" s="23"/>
    </row>
    <row r="80" spans="1:45" x14ac:dyDescent="0.25">
      <c r="J80" s="23" t="s">
        <v>88</v>
      </c>
      <c r="L80" s="2">
        <f>L63-L78</f>
        <v>0</v>
      </c>
    </row>
    <row r="81" spans="10:12" x14ac:dyDescent="0.25">
      <c r="J81" s="23" t="s">
        <v>89</v>
      </c>
      <c r="L81" s="2">
        <f>IF(B42=0,0,IF(B42&gt;L80,L80,B42))</f>
        <v>0</v>
      </c>
    </row>
    <row r="82" spans="10:12" x14ac:dyDescent="0.25">
      <c r="J82" s="23" t="s">
        <v>92</v>
      </c>
      <c r="L82" s="12">
        <f>L81+L78</f>
        <v>0</v>
      </c>
    </row>
  </sheetData>
  <sheetProtection algorithmName="SHA-512" hashValue="mNAFZZSVPmTrvvuF94IkV2lKP8Bh1uW6raOjiY3saDiFTYWB8kxehJJXnLVwTpx87Lx1xRrFnyQVYRDwzb6Mcw==" saltValue="tzHGGQoqkW4flEEHgcySRw==" spinCount="100000" sheet="1" objects="1" scenarios="1"/>
  <mergeCells count="70">
    <mergeCell ref="A1:H2"/>
    <mergeCell ref="G7:H7"/>
    <mergeCell ref="A3:H3"/>
    <mergeCell ref="G4:H4"/>
    <mergeCell ref="G5:H5"/>
    <mergeCell ref="G6:H6"/>
    <mergeCell ref="G8:H8"/>
    <mergeCell ref="N10:P10"/>
    <mergeCell ref="Q10:R10"/>
    <mergeCell ref="N11:P11"/>
    <mergeCell ref="N12:P12"/>
    <mergeCell ref="Q12:R12"/>
    <mergeCell ref="N21:P21"/>
    <mergeCell ref="N13:P13"/>
    <mergeCell ref="Q13:R13"/>
    <mergeCell ref="N14:P14"/>
    <mergeCell ref="Q14:R14"/>
    <mergeCell ref="N15:P15"/>
    <mergeCell ref="N16:P16"/>
    <mergeCell ref="Q16:R16"/>
    <mergeCell ref="N18:P18"/>
    <mergeCell ref="Q18:R18"/>
    <mergeCell ref="N19:P19"/>
    <mergeCell ref="N20:P20"/>
    <mergeCell ref="Q20:R20"/>
    <mergeCell ref="N22:P22"/>
    <mergeCell ref="Q22:R22"/>
    <mergeCell ref="D23:F23"/>
    <mergeCell ref="G23:H23"/>
    <mergeCell ref="A24:E24"/>
    <mergeCell ref="F24:H24"/>
    <mergeCell ref="Q40:R40"/>
    <mergeCell ref="N41:P41"/>
    <mergeCell ref="Q41:R41"/>
    <mergeCell ref="A25:E25"/>
    <mergeCell ref="F25:H25"/>
    <mergeCell ref="A29:H29"/>
    <mergeCell ref="A30:A31"/>
    <mergeCell ref="B30:B31"/>
    <mergeCell ref="C30:C31"/>
    <mergeCell ref="D30:D31"/>
    <mergeCell ref="E30:E31"/>
    <mergeCell ref="F30:F31"/>
    <mergeCell ref="G30:H31"/>
    <mergeCell ref="N37:P37"/>
    <mergeCell ref="Q37:R37"/>
    <mergeCell ref="Q51:R51"/>
    <mergeCell ref="N47:P47"/>
    <mergeCell ref="Q47:R47"/>
    <mergeCell ref="N38:P38"/>
    <mergeCell ref="N39:P39"/>
    <mergeCell ref="Q39:R39"/>
    <mergeCell ref="N42:P42"/>
    <mergeCell ref="Q49:R49"/>
    <mergeCell ref="N46:P46"/>
    <mergeCell ref="Q46:R46"/>
    <mergeCell ref="N43:P43"/>
    <mergeCell ref="Q43:R43"/>
    <mergeCell ref="N44:P44"/>
    <mergeCell ref="N45:P45"/>
    <mergeCell ref="Q45:R45"/>
    <mergeCell ref="N40:P40"/>
    <mergeCell ref="A51:E51"/>
    <mergeCell ref="F51:H51"/>
    <mergeCell ref="A52:E52"/>
    <mergeCell ref="F52:H52"/>
    <mergeCell ref="N48:P48"/>
    <mergeCell ref="N49:P49"/>
    <mergeCell ref="N50:P50"/>
    <mergeCell ref="N51:P51"/>
  </mergeCells>
  <conditionalFormatting sqref="A13 A19 A40 A46">
    <cfRule type="cellIs" dxfId="1" priority="2" stopIfTrue="1" operator="notEqual">
      <formula>0</formula>
    </cfRule>
  </conditionalFormatting>
  <conditionalFormatting sqref="E5:E8 E32:E35">
    <cfRule type="cellIs" dxfId="0" priority="1" stopIfTrue="1" operator="greaterThan">
      <formula>0.9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0 b c 6 5 1 b - d d 3 3 - 4 4 5 e - a 6 1 3 - 3 7 0 d 2 1 4 c 9 f 4 b "   x m l n s = " h t t p : / / s c h e m a s . m i c r o s o f t . c o m / D a t a M a s h u p " > A A A A A C k G A A B Q S w M E F A A C A A g A W V K O V p U l u a e o A A A A + Q A A A B I A H A B D b 2 5 m a W c v U G F j a 2 F n Z S 5 4 b W w g o h g A K K A U A A A A A A A A A A A A A A A A A A A A A A A A A A A A h c 8 x D o I w G A X g q 5 D u t L U a I + S n D C Z O k h h N j G t T C j R C M b R Y 7 u b g k b y C J I q 6 O b 6 X b 3 j v c b t D O j R 1 c F W d 1 a 1 J 0 A x T F C g j 2 1 y b M k G 9 K 8 I V S j n s h D y L U g U j N j Y e b J 6 g y r l L T I j 3 H v s 5 b r u S M E p n 5 J R t D 7 J S j U A f r P / j U B v r h J E K c T i + x n C G o w V e M h Z h O l o g U w + Z N l / D x s m Y A v k p Y d 3 X r u 8 U L 7 p w s w c y R S D v G / w J U E s D B B Q A A g A I A F l S j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Z U o 5 W p O Q S s R 8 D A A B y D w A A E w A c A E Z v c m 1 1 b G F z L 1 N l Y 3 R p b 2 4 x L m 0 g o h g A K K A U A A A A A A A A A A A A A A A A A A A A A A A A A A A A 7 V Z N b 9 p A E L 1 H 4 j 9 Y 7 q F G c o y S J j 0 0 4 o C A t k g p a U O a H q K q 2 q w n s N J + W P t B g y J + E P 0 b / L G O c Q I G L 6 7 U S 3 u A C / Z 6 v D P 7 5 r 1 5 N k A t U z I Y F f 8 n F 4 2 j x p G Z E A 1 p k B F N g X P C N D C t 2 Z j c c w j a A Q f b O A r w N 1 I O A 3 C l a 6 Z J T 1 E n Q N r o G 9 w n X S U t X p s o n F i b m X e t V g q U E 0 3 y H I m Z y Z R R Y o + p s m B S y L S a g q S Q U C V a 8 J g p b U 3 L l z y h Z h o 2 4 7 s e c C a Y B d 0 O L 8 I 4 6 C r u h D T t N 2 d x 0 J d U p U y O 2 y e n 5 6 d x 8 M V h i p G d c W h v L p O h k v C 9 G R e n e B X 2 5 b F d / s J S A q x E O B P i k W 5 W + T 7 j P b 7 1 E U g K 2 k T F g e P g 7 n m 9 w / m I E j y X a V v t y l v e z D I I B F b y w J a L z X 4 3 m k j z o L Q o S s 6 j T O Q p I H 5 6 C r t E Z G Q s A Q 9 o 8 9 0 s P N p 5 H D y F g x S h x Y 2 J t N g C i g k s 5 q i L u s q W C 8 Q e n K 6 E d W 8 H 2 4 8 H 0 r 4 9 S / L K V s 9 H i L + t j R g q U Z e g k 2 o w B m p r U C k E m T K W 8 N p M X S W E k 7 V b 9 Q V h v L K 6 6 g b m S J e L N Q u r V Y D O 8 a L + p x 9 A 6 m o r O l m W c 9 T 7 x q c c f 8 / 6 J Q P n g c B x L z S A H P B Q Y N i 5 q i w i K V P H b D W 4 9 9 U P O S 3 w 3 A u 0 t / T j 1 J P i e X p U 1 o d O Y K v U y y T x p V o u v C f s S L l c r J q W c a S w H + K R 0 w + E r l + W T t y D 3 u q 4 I K g N z W A / J 3 J 2 r m R d 3 Z 2 N J b H 5 A K o 8 6 i H 7 8 p e n h L N 0 q z a 8 g 2 3 O g Z 9 y 8 8 2 w w G G g p E T 1 G 5 d l m i F k U J p B 1 y B w P D 7 P u G h 3 t M Q 1 S q + K 2 y d n v 0 L 3 i 9 I v w 7 X y 1 k o p C e C F 8 y W a b 5 h d 4 m 2 Z Y N v w + x H f A / I + v e / I d U f x 8 2 b j i M n a n t S Z o / t 3 1 u j + a I z n B 2 M 8 G O P B G A / G + B 8 Y Y x H y u v i o P 1 h n 2 T r 3 + d a u A j c e u + N o f 2 G 5 2 z b r g 7 4 E 9 y U G I 9 h T l u 6 D f A Q c K X + t f u Z 4 e 7 s T B 0 D o J J D K B p f M 2 G R g + i K z s 2 h 1 U 3 T s E 7 F 0 g l 4 1 s C B M d A 1 U 6 T R 5 j 2 R N b w l 3 6 A w / m j l P c C v p O J 8 3 m 5 U K r W Y 7 d a F z R j U H 2 D G W K 4 2 + l v T A U J C 5 a 9 b 6 S x H c W c d u f 0 n s V H T x G 1 B L A Q I t A B Q A A g A I A F l S j l a V J b m n q A A A A P k A A A A S A A A A A A A A A A A A A A A A A A A A A A B D b 2 5 m a W c v U G F j a 2 F n Z S 5 4 b W x Q S w E C L Q A U A A I A C A B Z U o 5 W D 8 r p q 6 Q A A A D p A A A A E w A A A A A A A A A A A A A A A A D 0 A A A A W 0 N v b n R l b n R f V H l w Z X N d L n h t b F B L A Q I t A B Q A A g A I A F l S j l a k 5 B K x H w M A A H I P A A A T A A A A A A A A A A A A A A A A A O U B A A B G b 3 J t d W x h c y 9 T Z W N 0 a W 9 u M S 5 t U E s F B g A A A A A D A A M A w g A A A F E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Y m A A A A A A A A p C Y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3 B h c m N l b G x h a X J l a X J y a W d h Y m x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Y X J j Z W x s Y W l y Z W l y c m l n Y W J s Z S 9 U e X B l I G 1 v Z G l m a c O p L n t D Y W 1 w Y W d u Z S w w f S Z x d W 9 0 O y w m c X V v d D t T Z W N 0 a W 9 u M S 9 w Y X J j Z W x s Y W l y Z W l y c m l n Y W J s Z S 9 U e X B l I G 1 v Z G l m a c O p L n t J Z G V u d G l m a W F u d C B T b 2 N p w 6 l 0 w 6 k s M X 0 m c X V v d D s s J n F 1 b 3 Q 7 U 2 V j d G l v b j E v c G F y Y 2 V s b G F p c m V p c n J p Z 2 F i b G U v V H l w Z S B t b 2 R p Z m n D q S 5 7 T m 9 t I E 9 w w 6 l y Y X R l d X I s N X 0 m c X V v d D s s J n F 1 b 3 Q 7 U 2 V j d G l v b j E v c G F y Y 2 V s b G F p c m V p c n J p Z 2 F i b G U v V H l w Z S B t b 2 R p Z m n D q S 5 7 S U 5 B T y w x O H 0 m c X V v d D s s J n F 1 b 3 Q 7 U 2 V j d G l v b j E v c G F y Y 2 V s b G F p c m V p c n J p Z 2 F i b G U v V H l w Z S B t b 2 R p Z m n D q S 5 7 S U R V L D I w f S Z x d W 9 0 O y w m c X V v d D t T Z W N 0 a W 9 u M S 9 w Y X J j Z W x s Y W l y Z W l y c m l n Y W J s Z S 9 U e X B l I G 1 v Z G l m a c O p L n t D b 2 R l I G N v b W 1 1 b m U s M j F 9 J n F 1 b 3 Q 7 L C Z x d W 9 0 O 1 N l Y 3 R p b 2 4 x L 3 B h c m N l b G x h a X J l a X J y a W d h Y m x l L 1 R 5 c G U g b W 9 k a W Z p w 6 k u e 0 N v b W 1 1 b m U s M j J 9 J n F 1 b 3 Q 7 L C Z x d W 9 0 O 1 N l Y 3 R p b 2 4 x L 3 B h c m N l b G x h a X J l a X J y a W d h Y m x l L 1 R 5 c G U g b W 9 k a W Z p w 6 k u e 1 N l Y 3 R p b 2 4 s M j R 9 J n F 1 b 3 Q 7 L C Z x d W 9 0 O 1 N l Y 3 R p b 2 4 x L 3 B h c m N l b G x h a X J l a X J y a W d h Y m x l L 1 R 5 c G U g b W 9 k a W Z p w 6 k u e 0 5 1 b c O p c m 8 g c G F y Y 2 V s b G U s M j V 9 J n F 1 b 3 Q 7 L C Z x d W 9 0 O 1 N l Y 3 R p b 2 4 x L 3 B h c m N l b G x h a X J l a X J y a W d h Y m x l L 1 R 5 c G U g b W 9 k a W Z p w 6 k u e 0 P D q X B h Z 2 U s M j Z 9 J n F 1 b 3 Q 7 L C Z x d W 9 0 O 1 N l Y 3 R p b 2 4 x L 3 B h c m N l b G x h a X J l a X J y a W d h Y m x l L 1 R 5 c G U g b W 9 k a W Z p w 6 k u e 0 F u b s O p Z S B k Z S B w b G F u d G F 0 a W 9 u L D I 3 f S Z x d W 9 0 O y w m c X V v d D t T Z W N 0 a W 9 u M S 9 w Y X J j Z W x s Y W l y Z W l y c m l n Y W J s Z S 9 U e X B l I G 1 v Z G l m a c O p L n t T d X J m Y W N l L D I 4 f S Z x d W 9 0 O y w m c X V v d D t T Z W N 0 a W 9 u M S 9 w Y X J j Z W x s Y W l y Z W l y c m l n Y W J s Z S 9 U e X B l I G 1 v Z G l m a c O p L n t U e X B l I G R l I G 1 h d M O p c m l l b C w y O X 0 m c X V v d D s s J n F 1 b 3 Q 7 U 2 V j d G l v b j E v c G F y Y 2 V s b G F p c m V p c n J p Z 2 F i b G U v V H l w Z S B t b 2 R p Z m n D q S 5 7 V H l w Z S B k Z S B y Z X N z b 3 V y Y 2 U s M z B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9 w Y X J j Z W x s Y W l y Z W l y c m l n Y W J s Z S 9 U e X B l I G 1 v Z G l m a c O p L n t D Y W 1 w Y W d u Z S w w f S Z x d W 9 0 O y w m c X V v d D t T Z W N 0 a W 9 u M S 9 w Y X J j Z W x s Y W l y Z W l y c m l n Y W J s Z S 9 U e X B l I G 1 v Z G l m a c O p L n t J Z G V u d G l m a W F u d C B T b 2 N p w 6 l 0 w 6 k s M X 0 m c X V v d D s s J n F 1 b 3 Q 7 U 2 V j d G l v b j E v c G F y Y 2 V s b G F p c m V p c n J p Z 2 F i b G U v V H l w Z S B t b 2 R p Z m n D q S 5 7 T m 9 t I E 9 w w 6 l y Y X R l d X I s N X 0 m c X V v d D s s J n F 1 b 3 Q 7 U 2 V j d G l v b j E v c G F y Y 2 V s b G F p c m V p c n J p Z 2 F i b G U v V H l w Z S B t b 2 R p Z m n D q S 5 7 S U 5 B T y w x O H 0 m c X V v d D s s J n F 1 b 3 Q 7 U 2 V j d G l v b j E v c G F y Y 2 V s b G F p c m V p c n J p Z 2 F i b G U v V H l w Z S B t b 2 R p Z m n D q S 5 7 S U R V L D I w f S Z x d W 9 0 O y w m c X V v d D t T Z W N 0 a W 9 u M S 9 w Y X J j Z W x s Y W l y Z W l y c m l n Y W J s Z S 9 U e X B l I G 1 v Z G l m a c O p L n t D b 2 R l I G N v b W 1 1 b m U s M j F 9 J n F 1 b 3 Q 7 L C Z x d W 9 0 O 1 N l Y 3 R p b 2 4 x L 3 B h c m N l b G x h a X J l a X J y a W d h Y m x l L 1 R 5 c G U g b W 9 k a W Z p w 6 k u e 0 N v b W 1 1 b m U s M j J 9 J n F 1 b 3 Q 7 L C Z x d W 9 0 O 1 N l Y 3 R p b 2 4 x L 3 B h c m N l b G x h a X J l a X J y a W d h Y m x l L 1 R 5 c G U g b W 9 k a W Z p w 6 k u e 1 N l Y 3 R p b 2 4 s M j R 9 J n F 1 b 3 Q 7 L C Z x d W 9 0 O 1 N l Y 3 R p b 2 4 x L 3 B h c m N l b G x h a X J l a X J y a W d h Y m x l L 1 R 5 c G U g b W 9 k a W Z p w 6 k u e 0 5 1 b c O p c m 8 g c G F y Y 2 V s b G U s M j V 9 J n F 1 b 3 Q 7 L C Z x d W 9 0 O 1 N l Y 3 R p b 2 4 x L 3 B h c m N l b G x h a X J l a X J y a W d h Y m x l L 1 R 5 c G U g b W 9 k a W Z p w 6 k u e 0 P D q X B h Z 2 U s M j Z 9 J n F 1 b 3 Q 7 L C Z x d W 9 0 O 1 N l Y 3 R p b 2 4 x L 3 B h c m N l b G x h a X J l a X J y a W d h Y m x l L 1 R 5 c G U g b W 9 k a W Z p w 6 k u e 0 F u b s O p Z S B k Z S B w b G F u d G F 0 a W 9 u L D I 3 f S Z x d W 9 0 O y w m c X V v d D t T Z W N 0 a W 9 u M S 9 w Y X J j Z W x s Y W l y Z W l y c m l n Y W J s Z S 9 U e X B l I G 1 v Z G l m a c O p L n t T d X J m Y W N l L D I 4 f S Z x d W 9 0 O y w m c X V v d D t T Z W N 0 a W 9 u M S 9 w Y X J j Z W x s Y W l y Z W l y c m l n Y W J s Z S 9 U e X B l I G 1 v Z G l m a c O p L n t U e X B l I G R l I G 1 h d M O p c m l l b C w y O X 0 m c X V v d D s s J n F 1 b 3 Q 7 U 2 V j d G l v b j E v c G F y Y 2 V s b G F p c m V p c n J p Z 2 F i b G U v V H l w Z S B t b 2 R p Z m n D q S 5 7 V H l w Z S B k Z S B y Z X N z b 3 V y Y 2 U s M z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Y W 1 w Y W d u Z S Z x d W 9 0 O y w m c X V v d D t J Z G V u d G l m a W F u d C B T b 2 N p w 6 l 0 w 6 k m c X V v d D s s J n F 1 b 3 Q 7 T m 9 t I E 9 w w 6 l y Y X R l d X I m c X V v d D s s J n F 1 b 3 Q 7 S U 5 B T y Z x d W 9 0 O y w m c X V v d D t J R F U m c X V v d D s s J n F 1 b 3 Q 7 Q 2 9 k Z S B j b 2 1 t d W 5 l J n F 1 b 3 Q 7 L C Z x d W 9 0 O 0 N v b W 1 1 b m U m c X V v d D s s J n F 1 b 3 Q 7 U 2 V j d G l v b i Z x d W 9 0 O y w m c X V v d D t O d W 3 D q X J v I H B h c m N l b G x l J n F 1 b 3 Q 7 L C Z x d W 9 0 O 0 P D q X B h Z 2 U m c X V v d D s s J n F 1 b 3 Q 7 Q W 5 u w 6 l l I G R l I H B s Y W 5 0 Y X R p b 2 4 m c X V v d D s s J n F 1 b 3 Q 7 U 3 V y Z m F j Z S Z x d W 9 0 O y w m c X V v d D t U e X B l I G R l I G 1 h d M O p c m l l b C Z x d W 9 0 O y w m c X V v d D t U e X B l I G R l I H J l c 3 N v d X J j Z S Z x d W 9 0 O 1 0 i I C 8 + P E V u d H J 5 I F R 5 c G U 9 I k Z p b G x D b 2 x 1 b W 5 U e X B l c y I g V m F s d W U 9 I n N C Z 1 l H Q m d Z R E J n W U R C Z 1 l G Q m d Z P S I g L z 4 8 R W 5 0 c n k g V H l w Z T 0 i R m l s b E x h c 3 R V c G R h d G V k I i B W Y W x 1 Z T 0 i Z D I w M j M t M D M t M z B U M T I 6 N T Q 6 N D A u M T E 4 N j Q 2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1 O D I z I i A v P j x F b n R y e S B U e X B l P S J B Z G R l Z F R v R G F 0 Y U 1 v Z G V s I i B W Y W x 1 Z T 0 i b D A i I C 8 + P E V u d H J 5 I F R 5 c G U 9 I l F 1 Z X J 5 S U Q i I F Z h b H V l P S J z Z T h m M 2 U z N z M t Y j R k O S 0 0 O T d l L W E x N W U t N m M 5 N W J k Y T I 1 Z D Z h I i A v P j w v U 3 R h Y m x l R W 5 0 c m l l c z 4 8 L 0 l 0 Z W 0 + P E l 0 Z W 0 + P E l 0 Z W 1 M b 2 N h d G l v b j 4 8 S X R l b V R 5 c G U + R m 9 y b X V s Y T w v S X R l b V R 5 c G U + P E l 0 Z W 1 Q Y X R o P l N l Y 3 R p b 2 4 x L 3 B h c m N l b G x h a X J l a X J y a W d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h c m N l b G x h a X J l a X J y a W d h Y m x l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Y X J j Z W x s Y W l y Z W l y c m l n Y W J s Z S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F y Y 2 V s b G F p c m V p c n J p Z 2 F i b G U v Q 2 9 s b 2 5 u Z X M l M j B z d X B w c m l t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Y X J j Z W x s Y W l y Z W l y c m l n d W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h c m N l b G x h a X J l a X J y a W d 1 Z S 9 U e X B l I G 1 v Z G l m a c O p L n t D Y W 1 w Y W d u Z S w w f S Z x d W 9 0 O y w m c X V v d D t T Z W N 0 a W 9 u M S 9 w Y X J j Z W x s Y W l y Z W l y c m l n d W U v V H l w Z S B t b 2 R p Z m n D q S 5 7 S W R l b n R p Z m l h b n Q g U 2 9 j a c O p d M O p L D F 9 J n F 1 b 3 Q 7 L C Z x d W 9 0 O 1 N l Y 3 R p b 2 4 x L 3 B h c m N l b G x h a X J l a X J y a W d 1 Z S 9 U e X B l I G 1 v Z G l m a c O p L n t O b 2 0 g T 3 D D q X J h d G V 1 c i w 1 f S Z x d W 9 0 O y w m c X V v d D t T Z W N 0 a W 9 u M S 9 w Y X J j Z W x s Y W l y Z W l y c m l n d W U v V H l w Z S B t b 2 R p Z m n D q S 5 7 S U 5 B T y w x O H 0 m c X V v d D s s J n F 1 b 3 Q 7 U 2 V j d G l v b j E v c G F y Y 2 V s b G F p c m V p c n J p Z 3 V l L 1 R 5 c G U g b W 9 k a W Z p w 6 k u e 0 l E V S w y M H 0 m c X V v d D s s J n F 1 b 3 Q 7 U 2 V j d G l v b j E v c G F y Y 2 V s b G F p c m V p c n J p Z 3 V l L 1 R 5 c G U g b W 9 k a W Z p w 6 k u e 0 N v Z G U g Y 2 9 t b X V u Z S w y M X 0 m c X V v d D s s J n F 1 b 3 Q 7 U 2 V j d G l v b j E v c G F y Y 2 V s b G F p c m V p c n J p Z 3 V l L 1 R 5 c G U g b W 9 k a W Z p w 6 k u e 0 N v b W 1 1 b m U s M j J 9 J n F 1 b 3 Q 7 L C Z x d W 9 0 O 1 N l Y 3 R p b 2 4 x L 3 B h c m N l b G x h a X J l a X J y a W d 1 Z S 9 U e X B l I G 1 v Z G l m a c O p L n t M a W V 1 L W R p d C w y M 3 0 m c X V v d D s s J n F 1 b 3 Q 7 U 2 V j d G l v b j E v c G F y Y 2 V s b G F p c m V p c n J p Z 3 V l L 1 R 5 c G U g b W 9 k a W Z p w 6 k u e 1 N l Y 3 R p b 2 4 s M j R 9 J n F 1 b 3 Q 7 L C Z x d W 9 0 O 1 N l Y 3 R p b 2 4 x L 3 B h c m N l b G x h a X J l a X J y a W d 1 Z S 9 U e X B l I G 1 v Z G l m a c O p L n t O d W 3 D q X J v I H B h c m N l b G x l L D I 1 f S Z x d W 9 0 O y w m c X V v d D t T Z W N 0 a W 9 u M S 9 w Y X J j Z W x s Y W l y Z W l y c m l n d W U v V H l w Z S B t b 2 R p Z m n D q S 5 7 Q 8 O p c G F n Z S w y N n 0 m c X V v d D s s J n F 1 b 3 Q 7 U 2 V j d G l v b j E v c G F y Y 2 V s b G F p c m V p c n J p Z 3 V l L 1 R 5 c G U g b W 9 k a W Z p w 6 k u e 0 F u b s O p Z S B k Z S B w b G F u d G F 0 a W 9 u L D I 3 f S Z x d W 9 0 O y w m c X V v d D t T Z W N 0 a W 9 u M S 9 w Y X J j Z W x s Y W l y Z W l y c m l n d W U v V H l w Z S B t b 2 R p Z m n D q S 5 7 U 3 V y Z m F j Z S w y O H 0 m c X V v d D s s J n F 1 b 3 Q 7 U 2 V j d G l v b j E v c G F y Y 2 V s b G F p c m V p c n J p Z 3 V l L 1 R 5 c G U g b W 9 k a W Z p w 6 k u e 1 R 5 c G U g Z G U g b W F 0 w 6 l y a W V s L D I 5 f S Z x d W 9 0 O y w m c X V v d D t T Z W N 0 a W 9 u M S 9 w Y X J j Z W x s Y W l y Z W l y c m l n d W U v V H l w Z S B t b 2 R p Z m n D q S 5 7 V H l w Z S B k Z S B y Z X N z b 3 V y Y 2 U s M z B 9 J n F 1 b 3 Q 7 L C Z x d W 9 0 O 1 N l Y 3 R p b 2 4 x L 3 B h c m N l b G x h a X J l a X J y a W d 1 Z S 9 U e X B l I G 1 v Z G l m a c O p L n t E Y X R l I G R l I H Z h b G l k Y X R p b 2 4 s M z J 9 J n F 1 b 3 Q 7 L C Z x d W 9 0 O 1 N l Y 3 R p b 2 4 x L 3 B h c m N l b G x h a X J l a X J y a W d 1 Z S 9 U e X B l I G 1 v Z G l m a c O p L n t E Y X R l I G R c d T A w M j d p c n J p Z 2 F 0 a W 9 u L D M z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c G F y Y 2 V s b G F p c m V p c n J p Z 3 V l L 1 R 5 c G U g b W 9 k a W Z p w 6 k u e 0 N h b X B h Z 2 5 l L D B 9 J n F 1 b 3 Q 7 L C Z x d W 9 0 O 1 N l Y 3 R p b 2 4 x L 3 B h c m N l b G x h a X J l a X J y a W d 1 Z S 9 U e X B l I G 1 v Z G l m a c O p L n t J Z G V u d G l m a W F u d C B T b 2 N p w 6 l 0 w 6 k s M X 0 m c X V v d D s s J n F 1 b 3 Q 7 U 2 V j d G l v b j E v c G F y Y 2 V s b G F p c m V p c n J p Z 3 V l L 1 R 5 c G U g b W 9 k a W Z p w 6 k u e 0 5 v b S B P c M O p c m F 0 Z X V y L D V 9 J n F 1 b 3 Q 7 L C Z x d W 9 0 O 1 N l Y 3 R p b 2 4 x L 3 B h c m N l b G x h a X J l a X J y a W d 1 Z S 9 U e X B l I G 1 v Z G l m a c O p L n t J T k F P L D E 4 f S Z x d W 9 0 O y w m c X V v d D t T Z W N 0 a W 9 u M S 9 w Y X J j Z W x s Y W l y Z W l y c m l n d W U v V H l w Z S B t b 2 R p Z m n D q S 5 7 S U R V L D I w f S Z x d W 9 0 O y w m c X V v d D t T Z W N 0 a W 9 u M S 9 w Y X J j Z W x s Y W l y Z W l y c m l n d W U v V H l w Z S B t b 2 R p Z m n D q S 5 7 Q 2 9 k Z S B j b 2 1 t d W 5 l L D I x f S Z x d W 9 0 O y w m c X V v d D t T Z W N 0 a W 9 u M S 9 w Y X J j Z W x s Y W l y Z W l y c m l n d W U v V H l w Z S B t b 2 R p Z m n D q S 5 7 Q 2 9 t b X V u Z S w y M n 0 m c X V v d D s s J n F 1 b 3 Q 7 U 2 V j d G l v b j E v c G F y Y 2 V s b G F p c m V p c n J p Z 3 V l L 1 R 5 c G U g b W 9 k a W Z p w 6 k u e 0 x p Z X U t Z G l 0 L D I z f S Z x d W 9 0 O y w m c X V v d D t T Z W N 0 a W 9 u M S 9 w Y X J j Z W x s Y W l y Z W l y c m l n d W U v V H l w Z S B t b 2 R p Z m n D q S 5 7 U 2 V j d G l v b i w y N H 0 m c X V v d D s s J n F 1 b 3 Q 7 U 2 V j d G l v b j E v c G F y Y 2 V s b G F p c m V p c n J p Z 3 V l L 1 R 5 c G U g b W 9 k a W Z p w 6 k u e 0 5 1 b c O p c m 8 g c G F y Y 2 V s b G U s M j V 9 J n F 1 b 3 Q 7 L C Z x d W 9 0 O 1 N l Y 3 R p b 2 4 x L 3 B h c m N l b G x h a X J l a X J y a W d 1 Z S 9 U e X B l I G 1 v Z G l m a c O p L n t D w 6 l w Y W d l L D I 2 f S Z x d W 9 0 O y w m c X V v d D t T Z W N 0 a W 9 u M S 9 w Y X J j Z W x s Y W l y Z W l y c m l n d W U v V H l w Z S B t b 2 R p Z m n D q S 5 7 Q W 5 u w 6 l l I G R l I H B s Y W 5 0 Y X R p b 2 4 s M j d 9 J n F 1 b 3 Q 7 L C Z x d W 9 0 O 1 N l Y 3 R p b 2 4 x L 3 B h c m N l b G x h a X J l a X J y a W d 1 Z S 9 U e X B l I G 1 v Z G l m a c O p L n t T d X J m Y W N l L D I 4 f S Z x d W 9 0 O y w m c X V v d D t T Z W N 0 a W 9 u M S 9 w Y X J j Z W x s Y W l y Z W l y c m l n d W U v V H l w Z S B t b 2 R p Z m n D q S 5 7 V H l w Z S B k Z S B t Y X T D q X J p Z W w s M j l 9 J n F 1 b 3 Q 7 L C Z x d W 9 0 O 1 N l Y 3 R p b 2 4 x L 3 B h c m N l b G x h a X J l a X J y a W d 1 Z S 9 U e X B l I G 1 v Z G l m a c O p L n t U e X B l I G R l I H J l c 3 N v d X J j Z S w z M H 0 m c X V v d D s s J n F 1 b 3 Q 7 U 2 V j d G l v b j E v c G F y Y 2 V s b G F p c m V p c n J p Z 3 V l L 1 R 5 c G U g b W 9 k a W Z p w 6 k u e 0 R h d G U g Z G U g d m F s a W R h d G l v b i w z M n 0 m c X V v d D s s J n F 1 b 3 Q 7 U 2 V j d G l v b j E v c G F y Y 2 V s b G F p c m V p c n J p Z 3 V l L 1 R 5 c G U g b W 9 k a W Z p w 6 k u e 0 R h d G U g Z F x 1 M D A y N 2 l y c m l n Y X R p b 2 4 s M z N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Y W 1 w Y W d u Z S Z x d W 9 0 O y w m c X V v d D t J Z G V u d G l m a W F u d C B T b 2 N p w 6 l 0 w 6 k m c X V v d D s s J n F 1 b 3 Q 7 T m 9 t I E 9 w w 6 l y Y X R l d X I m c X V v d D s s J n F 1 b 3 Q 7 S U 5 B T y Z x d W 9 0 O y w m c X V v d D t J R F U m c X V v d D s s J n F 1 b 3 Q 7 Q 2 9 k Z S B j b 2 1 t d W 5 l J n F 1 b 3 Q 7 L C Z x d W 9 0 O 0 N v b W 1 1 b m U m c X V v d D s s J n F 1 b 3 Q 7 T G l l d S 1 k a X Q m c X V v d D s s J n F 1 b 3 Q 7 U 2 V j d G l v b i Z x d W 9 0 O y w m c X V v d D t O d W 3 D q X J v I H B h c m N l b G x l J n F 1 b 3 Q 7 L C Z x d W 9 0 O 0 P D q X B h Z 2 U m c X V v d D s s J n F 1 b 3 Q 7 Q W 5 u w 6 l l I G R l I H B s Y W 5 0 Y X R p b 2 4 m c X V v d D s s J n F 1 b 3 Q 7 U 3 V y Z m F j Z S Z x d W 9 0 O y w m c X V v d D t U e X B l I G R l I G 1 h d M O p c m l l b C Z x d W 9 0 O y w m c X V v d D t U e X B l I G R l I H J l c 3 N v d X J j Z S Z x d W 9 0 O y w m c X V v d D t E Y X R l I G R l I H Z h b G l k Y X R p b 2 4 m c X V v d D s s J n F 1 b 3 Q 7 R G F 0 Z S B k X H U w M D I 3 a X J y a W d h d G l v b i Z x d W 9 0 O 1 0 i I C 8 + P E V u d H J 5 I F R 5 c G U 9 I k Z p b G x D b 2 x 1 b W 5 U e X B l c y I g V m F s d W U 9 I n N C Z 1 l H Q m d Z R E J n W U d B d 1 l H Q l F Z R 0 N R a z 0 i I C 8 + P E V u d H J 5 I F R 5 c G U 9 I k Z p b G x M Y X N 0 V X B k Y X R l Z C I g V m F s d W U 9 I m Q y M D I z L T A z L T M w V D E z O j A 3 O j U 4 L j U w N j A y M z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N j c 0 N y I g L z 4 8 R W 5 0 c n k g V H l w Z T 0 i Q W R k Z W R U b 0 R h d G F N b 2 R l b C I g V m F s d W U 9 I m w w I i A v P j x F b n R y e S B U e X B l P S J R d W V y e U l E I i B W Y W x 1 Z T 0 i c 2 M y Z G Q 1 Z W Y 4 L T c w M D M t N D A z Z C 1 h N T J m L W J k N m J h M G R j M T k z Y i I g L z 4 8 L 1 N 0 Y W J s Z U V u d H J p Z X M + P C 9 J d G V t P j x J d G V t P j x J d G V t T G 9 j Y X R p b 2 4 + P E l 0 Z W 1 U e X B l P k Z v c m 1 1 b G E 8 L 0 l 0 Z W 1 U e X B l P j x J d G V t U G F 0 a D 5 T Z W N 0 a W 9 u M S 9 w Y X J j Z W x s Y W l y Z W l y c m l n d W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F y Y 2 V s b G F p c m V p c n J p Z 3 V l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Y X J j Z W x s Y W l y Z W l y c m l n d W U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h c m N l b G x h a X J l a X J y a W d 1 Z S 9 D b 2 x v b m 5 l c y U y M H N 1 c H B y a W 0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h c m N l b G x h a X J l a X J y a W d 1 Z S 9 M a W d u Z X M l M j B 2 a W R l c y U y M H N 1 c H B y a W 0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h c m N l b G x h a X J l a X J y a W d 1 Z S 9 M a W d u Z X M l M j B 0 c m k l Q z M l Q T l l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9 P 3 g y / c + w T L C k j S 6 w N r Q a A A A A A A I A A A A A A A N m A A D A A A A A E A A A A K L l K i x k + f 0 6 9 9 M 1 r T J V 7 f g A A A A A B I A A A K A A A A A Q A A A A 9 N f P d 5 / L 7 L + J G 1 0 S x 9 O L o l A A A A C 2 L B b 3 Z T C E T Q x n 7 o K 3 5 V S t c N q i 5 T G 8 i o B 3 m s H T K 0 m 9 D D S U q T Y Z M g M V 1 2 X q c V b G N + M 1 d m s I C B Q v M k P C 1 R 8 z Q x I v b d v p / + 2 o h M S C c 4 Z w Y s M k R x Q A A A A c q O / F v 0 U n z P t 1 j z k I Z d V 2 d / r a 4 A = = < / D a t a M a s h u p > 
</file>

<file path=customXml/itemProps1.xml><?xml version="1.0" encoding="utf-8"?>
<ds:datastoreItem xmlns:ds="http://schemas.openxmlformats.org/officeDocument/2006/customXml" ds:itemID="{41B30731-9E10-41C5-8109-27039006679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Notice</vt:lpstr>
      <vt:lpstr>CDP</vt:lpstr>
      <vt:lpstr>Sainte-Victoire</vt:lpstr>
      <vt:lpstr>Fréjus</vt:lpstr>
      <vt:lpstr>Pierrefeu</vt:lpstr>
      <vt:lpstr>La Londe</vt:lpstr>
      <vt:lpstr>Notre-Dame-des-Anges</vt:lpstr>
      <vt:lpstr>CDP!Zone_d_impression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Violaine LAURENT</dc:creator>
  <cp:lastModifiedBy>Hugo Baudoin</cp:lastModifiedBy>
  <cp:lastPrinted>2023-05-30T07:41:19Z</cp:lastPrinted>
  <dcterms:created xsi:type="dcterms:W3CDTF">2014-04-07T09:02:19Z</dcterms:created>
  <dcterms:modified xsi:type="dcterms:W3CDTF">2023-05-30T07:41:22Z</dcterms:modified>
</cp:coreProperties>
</file>